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240" windowWidth="15480" windowHeight="11520" firstSheet="9" activeTab="9"/>
  </bookViews>
  <sheets>
    <sheet name="Special Schools Print" sheetId="28" r:id="rId1"/>
    <sheet name="Specials Breakdown" sheetId="34" state="hidden" r:id="rId2"/>
    <sheet name="Specials Places funding " sheetId="35" state="hidden" r:id="rId3"/>
    <sheet name="Special Schools List" sheetId="29" state="hidden" r:id="rId4"/>
    <sheet name="Other LA ERS Places" sheetId="32" state="hidden" r:id="rId5"/>
    <sheet name="ERS 2013-14 if full" sheetId="36" state="hidden" r:id="rId6"/>
    <sheet name="ERS 2013-14 Filled Places" sheetId="31" state="hidden" r:id="rId7"/>
    <sheet name="ERS Breakdown" sheetId="30" state="hidden" r:id="rId8"/>
    <sheet name="School Lookup" sheetId="21" state="hidden" r:id="rId9"/>
    <sheet name="School Formula Budget 2013-14" sheetId="20" r:id="rId10"/>
    <sheet name="New Finbud Primary &amp; Secondary" sheetId="6" state="hidden" r:id="rId11"/>
    <sheet name="Delegation" sheetId="11" state="hidden" r:id="rId12"/>
    <sheet name="For proforma" sheetId="19" state="hidden" r:id="rId13"/>
    <sheet name="Formula AWPU Totals" sheetId="4" state="hidden" r:id="rId14"/>
    <sheet name="School Level Information" sheetId="1" state="hidden" r:id="rId15"/>
    <sheet name="Delegation Budget lines" sheetId="14" state="hidden" r:id="rId16"/>
    <sheet name="Outside Formula" sheetId="12" state="hidden" r:id="rId17"/>
    <sheet name="Prim Sec Data 2012" sheetId="16" state="hidden" r:id="rId18"/>
    <sheet name="Summary Funding 12-13" sheetId="17" state="hidden" r:id="rId19"/>
    <sheet name="Names for List" sheetId="24" state="hidden" r:id="rId20"/>
    <sheet name="VLookup Info for Print Sheet" sheetId="26" state="hidden" r:id="rId21"/>
    <sheet name="2013-14 Early Years" sheetId="27" state="hidden" r:id="rId22"/>
  </sheets>
  <externalReferences>
    <externalReference r:id="rId23"/>
    <externalReference r:id="rId24"/>
    <externalReference r:id="rId25"/>
  </externalReferences>
  <definedNames>
    <definedName name="__cmn14" localSheetId="6">#REF!</definedName>
    <definedName name="__cmn14" localSheetId="5">#REF!</definedName>
    <definedName name="__cmn14" localSheetId="4">#REF!</definedName>
    <definedName name="__cmn14" localSheetId="1">#REF!</definedName>
    <definedName name="__cmn14" localSheetId="2">#REF!</definedName>
    <definedName name="__cmn14">#REF!</definedName>
    <definedName name="_cmn14" localSheetId="6">#REF!</definedName>
    <definedName name="_cmn14" localSheetId="5">#REF!</definedName>
    <definedName name="_cmn14" localSheetId="4">#REF!</definedName>
    <definedName name="_cmn14" localSheetId="17">#REF!</definedName>
    <definedName name="_cmn14" localSheetId="9">#REF!</definedName>
    <definedName name="_cmn14" localSheetId="0">#REF!</definedName>
    <definedName name="_cmn14" localSheetId="1">#REF!</definedName>
    <definedName name="_cmn14" localSheetId="2">#REF!</definedName>
    <definedName name="_cmn14" localSheetId="18">#REF!</definedName>
    <definedName name="_cmn14" localSheetId="20">#REF!</definedName>
    <definedName name="_cmn14">#REF!</definedName>
    <definedName name="_xlnm._FilterDatabase" localSheetId="15" hidden="1">'Delegation Budget lines'!$A$1:$J$381</definedName>
    <definedName name="_xlnm._FilterDatabase" localSheetId="9" hidden="1">'School Formula Budget 2013-14'!#REF!</definedName>
    <definedName name="_xlnm._FilterDatabase" localSheetId="0" hidden="1">'Special Schools Print'!#REF!</definedName>
    <definedName name="BUDSHEET" localSheetId="6">#REF!</definedName>
    <definedName name="BUDSHEET" localSheetId="5">#REF!</definedName>
    <definedName name="BUDSHEET" localSheetId="4">#REF!</definedName>
    <definedName name="BUDSHEET" localSheetId="17">#REF!</definedName>
    <definedName name="BUDSHEET" localSheetId="9">#REF!</definedName>
    <definedName name="BUDSHEET" localSheetId="0">#REF!</definedName>
    <definedName name="BUDSHEET" localSheetId="1">#REF!</definedName>
    <definedName name="BUDSHEET" localSheetId="2">#REF!</definedName>
    <definedName name="BUDSHEET" localSheetId="18">#REF!</definedName>
    <definedName name="BUDSHEET" localSheetId="20">#REF!</definedName>
    <definedName name="BUDSHEET">#REF!</definedName>
    <definedName name="datarows" localSheetId="9">[1]SchoolTable!#REF!</definedName>
    <definedName name="datarows" localSheetId="0">[1]SchoolTable!#REF!</definedName>
    <definedName name="datarows" localSheetId="1">[1]SchoolTable!#REF!</definedName>
    <definedName name="datarows" localSheetId="2">[1]SchoolTable!#REF!</definedName>
    <definedName name="datarows" localSheetId="20">[1]SchoolTable!#REF!</definedName>
    <definedName name="datarows">[1]SchoolTable!#REF!</definedName>
    <definedName name="END" localSheetId="6">#REF!</definedName>
    <definedName name="END" localSheetId="5">#REF!</definedName>
    <definedName name="END" localSheetId="4">#REF!</definedName>
    <definedName name="END" localSheetId="17">#REF!</definedName>
    <definedName name="END" localSheetId="9">#REF!</definedName>
    <definedName name="END" localSheetId="0">#REF!</definedName>
    <definedName name="END" localSheetId="1">#REF!</definedName>
    <definedName name="END" localSheetId="2">#REF!</definedName>
    <definedName name="END" localSheetId="18">#REF!</definedName>
    <definedName name="END" localSheetId="20">#REF!</definedName>
    <definedName name="END">#REF!</definedName>
    <definedName name="enddfes" localSheetId="9">#REF!</definedName>
    <definedName name="enddfes" localSheetId="0">#REF!</definedName>
    <definedName name="enddfes" localSheetId="1">#REF!</definedName>
    <definedName name="enddfes" localSheetId="2">#REF!</definedName>
    <definedName name="enddfes" localSheetId="20">#REF!</definedName>
    <definedName name="enddfes">#REF!</definedName>
    <definedName name="ExpYr1Chart" localSheetId="6">#REF!</definedName>
    <definedName name="ExpYr1Chart" localSheetId="5">#REF!</definedName>
    <definedName name="ExpYr1Chart" localSheetId="4">#REF!</definedName>
    <definedName name="ExpYr1Chart" localSheetId="17">#REF!</definedName>
    <definedName name="ExpYr1Chart" localSheetId="9">#REF!</definedName>
    <definedName name="ExpYr1Chart" localSheetId="0">#REF!</definedName>
    <definedName name="ExpYr1Chart" localSheetId="1">#REF!</definedName>
    <definedName name="ExpYr1Chart" localSheetId="2">#REF!</definedName>
    <definedName name="ExpYr1Chart" localSheetId="18">#REF!</definedName>
    <definedName name="ExpYr1Chart" localSheetId="20">#REF!</definedName>
    <definedName name="ExpYr1Chart">#REF!</definedName>
    <definedName name="ExpYr2Chart" localSheetId="6">#REF!</definedName>
    <definedName name="ExpYr2Chart" localSheetId="5">#REF!</definedName>
    <definedName name="ExpYr2Chart" localSheetId="4">#REF!</definedName>
    <definedName name="ExpYr2Chart" localSheetId="17">#REF!</definedName>
    <definedName name="ExpYr2Chart" localSheetId="9">#REF!</definedName>
    <definedName name="ExpYr2Chart" localSheetId="0">#REF!</definedName>
    <definedName name="ExpYr2Chart" localSheetId="1">#REF!</definedName>
    <definedName name="ExpYr2Chart" localSheetId="2">#REF!</definedName>
    <definedName name="ExpYr2Chart" localSheetId="18">#REF!</definedName>
    <definedName name="ExpYr2Chart" localSheetId="20">#REF!</definedName>
    <definedName name="ExpYr2Chart">#REF!</definedName>
    <definedName name="ExpYr3Chart" localSheetId="6">#REF!</definedName>
    <definedName name="ExpYr3Chart" localSheetId="5">#REF!</definedName>
    <definedName name="ExpYr3Chart" localSheetId="4">#REF!</definedName>
    <definedName name="ExpYr3Chart" localSheetId="17">#REF!</definedName>
    <definedName name="ExpYr3Chart" localSheetId="9">#REF!</definedName>
    <definedName name="ExpYr3Chart" localSheetId="0">#REF!</definedName>
    <definedName name="ExpYr3Chart" localSheetId="1">#REF!</definedName>
    <definedName name="ExpYr3Chart" localSheetId="2">#REF!</definedName>
    <definedName name="ExpYr3Chart" localSheetId="18">#REF!</definedName>
    <definedName name="ExpYr3Chart" localSheetId="20">#REF!</definedName>
    <definedName name="ExpYr3Chart">#REF!</definedName>
    <definedName name="j" localSheetId="9">[1]SchoolTable!$L$1:$L$65536,[1]SchoolTable!$M$1:$M$65536,[1]SchoolTable!$N$1:$N$65536,[1]SchoolTable!$S$1:$S$65536,[1]SchoolTable!$T$1:$T$65536,[1]SchoolTable!#REF!,[1]SchoolTable!$AK$1:$AK$65536,[1]SchoolTable!$BC$1:$BC$65536,[1]SchoolTable!$A$1:$A$65536,[1]SchoolTable!$B$1:$B$65536,[1]SchoolTable!$C$1:$C$65536,[1]SchoolTable!$D$1:$D$65536,[1]SchoolTable!$BP$1:$BP$65536,[1]SchoolTable!#REF!,[1]SchoolTable!$ET$1:$ET$65536</definedName>
    <definedName name="j" localSheetId="0">[1]SchoolTable!$L$1:$L$65536,[1]SchoolTable!$M$1:$M$65536,[1]SchoolTable!$N$1:$N$65536,[1]SchoolTable!$S$1:$S$65536,[1]SchoolTable!$T$1:$T$65536,[1]SchoolTable!#REF!,[1]SchoolTable!$AK$1:$AK$65536,[1]SchoolTable!$BC$1:$BC$65536,[1]SchoolTable!$A$1:$A$65536,[1]SchoolTable!$B$1:$B$65536,[1]SchoolTable!$C$1:$C$65536,[1]SchoolTable!$D$1:$D$65536,[1]SchoolTable!$BP$1:$BP$65536,[1]SchoolTable!#REF!,[1]SchoolTable!$ET$1:$ET$65536</definedName>
    <definedName name="j" localSheetId="1">[1]SchoolTable!$L$1:$L$65536,[1]SchoolTable!$M$1:$M$65536,[1]SchoolTable!$N$1:$N$65536,[1]SchoolTable!$S$1:$S$65536,[1]SchoolTable!$T$1:$T$65536,[1]SchoolTable!#REF!,[1]SchoolTable!$AK$1:$AK$65536,[1]SchoolTable!$BC$1:$BC$65536,[1]SchoolTable!$A$1:$A$65536,[1]SchoolTable!$B$1:$B$65536,[1]SchoolTable!$C$1:$C$65536,[1]SchoolTable!$D$1:$D$65536,[1]SchoolTable!$BP$1:$BP$65536,[1]SchoolTable!#REF!,[1]SchoolTable!$ET$1:$ET$65536</definedName>
    <definedName name="j" localSheetId="2">[1]SchoolTable!$L$1:$L$65536,[1]SchoolTable!$M$1:$M$65536,[1]SchoolTable!$N$1:$N$65536,[1]SchoolTable!$S$1:$S$65536,[1]SchoolTable!$T$1:$T$65536,[1]SchoolTable!#REF!,[1]SchoolTable!$AK$1:$AK$65536,[1]SchoolTable!$BC$1:$BC$65536,[1]SchoolTable!$A$1:$A$65536,[1]SchoolTable!$B$1:$B$65536,[1]SchoolTable!$C$1:$C$65536,[1]SchoolTable!$D$1:$D$65536,[1]SchoolTable!$BP$1:$BP$65536,[1]SchoolTable!#REF!,[1]SchoolTable!$ET$1:$ET$65536</definedName>
    <definedName name="j" localSheetId="20">[1]SchoolTable!$L$1:$L$65536,[1]SchoolTable!$M$1:$M$65536,[1]SchoolTable!$N$1:$N$65536,[1]SchoolTable!$S$1:$S$65536,[1]SchoolTable!$T$1:$T$65536,[1]SchoolTable!#REF!,[1]SchoolTable!$AK$1:$AK$65536,[1]SchoolTable!$BC$1:$BC$65536,[1]SchoolTable!$A$1:$A$65536,[1]SchoolTable!$B$1:$B$65536,[1]SchoolTable!$C$1:$C$65536,[1]SchoolTable!$D$1:$D$65536,[1]SchoolTable!$BP$1:$BP$65536,[1]SchoolTable!#REF!,[1]SchoolTable!$ET$1:$ET$65536</definedName>
    <definedName name="j">[1]SchoolTable!$L$1:$L$65536,[1]SchoolTable!$M$1:$M$65536,[1]SchoolTable!$N$1:$N$65536,[1]SchoolTable!$S$1:$S$65536,[1]SchoolTable!$T$1:$T$65536,[1]SchoolTable!#REF!,[1]SchoolTable!$AK$1:$AK$65536,[1]SchoolTable!$BC$1:$BC$65536,[1]SchoolTable!$A$1:$A$65536,[1]SchoolTable!$B$1:$B$65536,[1]SchoolTable!$C$1:$C$65536,[1]SchoolTable!$D$1:$D$65536,[1]SchoolTable!$BP$1:$BP$65536,[1]SchoolTable!#REF!,[1]SchoolTable!$ET$1:$ET$65536</definedName>
    <definedName name="NFPPRIMGM" localSheetId="6">#REF!</definedName>
    <definedName name="NFPPRIMGM" localSheetId="5">#REF!</definedName>
    <definedName name="NFPPRIMGM" localSheetId="4">#REF!</definedName>
    <definedName name="NFPPRIMGM" localSheetId="17">#REF!</definedName>
    <definedName name="NFPPRIMGM" localSheetId="9">#REF!</definedName>
    <definedName name="NFPPRIMGM" localSheetId="0">#REF!</definedName>
    <definedName name="NFPPRIMGM" localSheetId="1">#REF!</definedName>
    <definedName name="NFPPRIMGM" localSheetId="2">#REF!</definedName>
    <definedName name="NFPPRIMGM" localSheetId="18">#REF!</definedName>
    <definedName name="NFPPRIMGM" localSheetId="20">#REF!</definedName>
    <definedName name="NFPPRIMGM">#REF!</definedName>
    <definedName name="NFPPRIMLEA" localSheetId="6">#REF!</definedName>
    <definedName name="NFPPRIMLEA" localSheetId="5">#REF!</definedName>
    <definedName name="NFPPRIMLEA" localSheetId="4">#REF!</definedName>
    <definedName name="NFPPRIMLEA" localSheetId="17">#REF!</definedName>
    <definedName name="NFPPRIMLEA" localSheetId="9">#REF!</definedName>
    <definedName name="NFPPRIMLEA" localSheetId="0">#REF!</definedName>
    <definedName name="NFPPRIMLEA" localSheetId="1">#REF!</definedName>
    <definedName name="NFPPRIMLEA" localSheetId="2">#REF!</definedName>
    <definedName name="NFPPRIMLEA" localSheetId="18">#REF!</definedName>
    <definedName name="NFPPRIMLEA" localSheetId="20">#REF!</definedName>
    <definedName name="NFPPRIMLEA">#REF!</definedName>
    <definedName name="non_prim">[1]SchoolTable!$A$21:$IV$33,[1]SchoolTable!$A$113:$IV$142</definedName>
    <definedName name="non_sec">[1]SchoolTable!$A$21:$IV$112,[1]SchoolTable!$A$129:$IV$140</definedName>
    <definedName name="non_spe">[1]SchoolTable!$A$21:$IV$128,[1]SchoolTable!$A$140:$IV$141</definedName>
    <definedName name="NonTable2_1" localSheetId="9">[1]SchoolTable!#REF!</definedName>
    <definedName name="NonTable2_1" localSheetId="0">[1]SchoolTable!#REF!</definedName>
    <definedName name="NonTable2_1" localSheetId="1">[1]SchoolTable!#REF!</definedName>
    <definedName name="NonTable2_1" localSheetId="2">[1]SchoolTable!#REF!</definedName>
    <definedName name="NonTable2_1" localSheetId="20">[1]SchoolTable!#REF!</definedName>
    <definedName name="NonTable2_1">[1]SchoolTable!#REF!</definedName>
    <definedName name="NonTable2_2" localSheetId="9">[1]SchoolTable!#REF!</definedName>
    <definedName name="NonTable2_2" localSheetId="0">[1]SchoolTable!#REF!</definedName>
    <definedName name="NonTable2_2" localSheetId="1">[1]SchoolTable!#REF!</definedName>
    <definedName name="NonTable2_2" localSheetId="2">[1]SchoolTable!#REF!</definedName>
    <definedName name="NonTable2_2" localSheetId="20">[1]SchoolTable!#REF!</definedName>
    <definedName name="NonTable2_2">[1]SchoolTable!#REF!</definedName>
    <definedName name="NonTable2_4" localSheetId="9">[1]SchoolTable!#REF!</definedName>
    <definedName name="NonTable2_4" localSheetId="0">[1]SchoolTable!#REF!</definedName>
    <definedName name="NonTable2_4" localSheetId="1">[1]SchoolTable!#REF!</definedName>
    <definedName name="NonTable2_4" localSheetId="2">[1]SchoolTable!#REF!</definedName>
    <definedName name="NonTable2_4" localSheetId="20">[1]SchoolTable!#REF!</definedName>
    <definedName name="NonTable2_4">[1]SchoolTable!#REF!</definedName>
    <definedName name="nursery">[1]SchoolTable!$A$1:$T$65536,[1]SchoolTable!$BR$1:$CE$65536,[1]SchoolTable!$EP$1:$EP$65536,[1]SchoolTable!$EQ$1:$EQ$65536,[1]SchoolTable!$ER$1:$ER$65536,[1]SchoolTable!$ET$1:$ET$65536,[1]SchoolTable!$EU$1:$EU$65536,[1]SchoolTable!$EV$1:$EV$65536,[1]SchoolTable!$EX$1:$EX$65536,[1]SchoolTable!$EY$1:$EY$65536,[1]SchoolTable!$EZ$1:$EZ$65536</definedName>
    <definedName name="PayScales" localSheetId="6">#REF!</definedName>
    <definedName name="PayScales" localSheetId="5">#REF!</definedName>
    <definedName name="PayScales" localSheetId="4">#REF!</definedName>
    <definedName name="PayScales" localSheetId="17">#REF!</definedName>
    <definedName name="PayScales" localSheetId="9">#REF!</definedName>
    <definedName name="PayScales" localSheetId="0">#REF!</definedName>
    <definedName name="PayScales" localSheetId="1">#REF!</definedName>
    <definedName name="PayScales" localSheetId="2">#REF!</definedName>
    <definedName name="PayScales" localSheetId="18">#REF!</definedName>
    <definedName name="PayScales" localSheetId="20">#REF!</definedName>
    <definedName name="PayScales">#REF!</definedName>
    <definedName name="PhaseTot">[1]SchoolTable!$L$1:$L$65536,[1]SchoolTable!$AK$1:$AK$65536,[1]SchoolTable!$BC$1:$BC$65536,[1]SchoolTable!$BP$1:$BP$65536</definedName>
    <definedName name="PoolPremiumNonTeaching" localSheetId="6">'[2]Admin EDB09-EDB18'!#REF!</definedName>
    <definedName name="PoolPremiumNonTeaching" localSheetId="5">'[2]Admin EDB09-EDB18'!#REF!</definedName>
    <definedName name="PoolPremiumNonTeaching" localSheetId="4">'[2]Admin EDB09-EDB18'!#REF!</definedName>
    <definedName name="PoolPremiumNonTeaching" localSheetId="9">'[2]Admin EDB09-EDB18'!#REF!</definedName>
    <definedName name="PoolPremiumNonTeaching" localSheetId="0">'[2]Admin EDB09-EDB18'!#REF!</definedName>
    <definedName name="PoolPremiumNonTeaching" localSheetId="1">'[2]Admin EDB09-EDB18'!#REF!</definedName>
    <definedName name="PoolPremiumNonTeaching" localSheetId="2">'[2]Admin EDB09-EDB18'!#REF!</definedName>
    <definedName name="PoolPremiumNonTeaching" localSheetId="20">'[2]Admin EDB09-EDB18'!#REF!</definedName>
    <definedName name="PoolPremiumNonTeaching">'[2]Admin EDB09-EDB18'!#REF!</definedName>
    <definedName name="primary">[1]SchoolTable!$A$1:$AL$65536,[1]SchoolTable!$BR$1:$CM$65536,[1]SchoolTable!$CQ$1:$CR$65536,[1]SchoolTable!$CQ$1:$ER$65536,[1]SchoolTable!$ET$1:$EZ$65536</definedName>
    <definedName name="_xlnm.Print_Area" localSheetId="21">'2013-14 Early Years'!$A$1:$AW$187</definedName>
    <definedName name="_xlnm.Print_Area" localSheetId="9">'School Formula Budget 2013-14'!$A$1:$G$124</definedName>
    <definedName name="_xlnm.Print_Area" localSheetId="0">'Special Schools Print'!$A$1:$D$30</definedName>
    <definedName name="_xlnm.Print_Area" localSheetId="20">'VLookup Info for Print Sheet'!$A$1:$G$187</definedName>
    <definedName name="_xlnm.Print_Titles" localSheetId="21">'2013-14 Early Years'!$A:$C,'2013-14 Early Years'!$2:$2</definedName>
    <definedName name="_xlnm.Print_Titles" localSheetId="15">'Delegation Budget lines'!$1:$2</definedName>
    <definedName name="_xlnm.Print_Titles" localSheetId="6">'ERS 2013-14 Filled Places'!$A:$B</definedName>
    <definedName name="_xlnm.Print_Titles" localSheetId="5">'ERS 2013-14 if full'!$A:$A</definedName>
    <definedName name="_xlnm.Print_Titles" localSheetId="10">'New Finbud Primary &amp; Secondary'!$A:$B,'New Finbud Primary &amp; Secondary'!$1:$6</definedName>
    <definedName name="_xlnm.Print_Titles" localSheetId="4">'Other LA ERS Places'!$A:$A</definedName>
    <definedName name="_xlnm.Print_Titles" localSheetId="17">'Prim Sec Data 2012'!$1:$8</definedName>
    <definedName name="_xlnm.Print_Titles" localSheetId="14">'School Level Information'!$A:$B,'School Level Information'!$1:$1</definedName>
    <definedName name="_xlnm.Print_Titles" localSheetId="20">'VLookup Info for Print Sheet'!$A:$C,'VLookup Info for Print Sheet'!$2:$2</definedName>
    <definedName name="PupilNumberChart" localSheetId="6">#REF!</definedName>
    <definedName name="PupilNumberChart" localSheetId="5">#REF!</definedName>
    <definedName name="PupilNumberChart" localSheetId="4">#REF!</definedName>
    <definedName name="PupilNumberChart" localSheetId="17">#REF!</definedName>
    <definedName name="PupilNumberChart" localSheetId="9">#REF!</definedName>
    <definedName name="PupilNumberChart" localSheetId="0">#REF!</definedName>
    <definedName name="PupilNumberChart" localSheetId="1">#REF!</definedName>
    <definedName name="PupilNumberChart" localSheetId="2">#REF!</definedName>
    <definedName name="PupilNumberChart" localSheetId="18">#REF!</definedName>
    <definedName name="PupilNumberChart" localSheetId="20">#REF!</definedName>
    <definedName name="PupilNumberChart">#REF!</definedName>
    <definedName name="PupilOnRoll" localSheetId="6">#REF!</definedName>
    <definedName name="PupilOnRoll" localSheetId="5">#REF!</definedName>
    <definedName name="PupilOnRoll" localSheetId="4">#REF!</definedName>
    <definedName name="PupilOnRoll" localSheetId="17">#REF!</definedName>
    <definedName name="PupilOnRoll" localSheetId="9">#REF!</definedName>
    <definedName name="PupilOnRoll" localSheetId="0">#REF!</definedName>
    <definedName name="PupilOnRoll" localSheetId="1">#REF!</definedName>
    <definedName name="PupilOnRoll" localSheetId="2">#REF!</definedName>
    <definedName name="PupilOnRoll" localSheetId="18">#REF!</definedName>
    <definedName name="PupilOnRoll" localSheetId="20">#REF!</definedName>
    <definedName name="PupilOnRoll">#REF!</definedName>
    <definedName name="Pupils_on_Roll__C___M_only__Crosstab" localSheetId="6">#REF!</definedName>
    <definedName name="Pupils_on_Roll__C___M_only__Crosstab" localSheetId="5">#REF!</definedName>
    <definedName name="Pupils_on_Roll__C___M_only__Crosstab" localSheetId="4">#REF!</definedName>
    <definedName name="Pupils_on_Roll__C___M_only__Crosstab" localSheetId="9">#REF!</definedName>
    <definedName name="Pupils_on_Roll__C___M_only__Crosstab" localSheetId="0">#REF!</definedName>
    <definedName name="Pupils_on_Roll__C___M_only__Crosstab" localSheetId="1">#REF!</definedName>
    <definedName name="Pupils_on_Roll__C___M_only__Crosstab" localSheetId="2">#REF!</definedName>
    <definedName name="Pupils_on_Roll__C___M_only__Crosstab" localSheetId="20">#REF!</definedName>
    <definedName name="Pupils_on_Roll__C___M_only__Crosstab">#REF!</definedName>
    <definedName name="Sch_type">[3]Rates!$A$4:$A$8</definedName>
    <definedName name="School" localSheetId="6">#REF!</definedName>
    <definedName name="School" localSheetId="5">#REF!</definedName>
    <definedName name="School" localSheetId="4">#REF!</definedName>
    <definedName name="School" localSheetId="17">#REF!</definedName>
    <definedName name="School" localSheetId="9">#REF!</definedName>
    <definedName name="School" localSheetId="0">#REF!</definedName>
    <definedName name="School" localSheetId="1">#REF!</definedName>
    <definedName name="School" localSheetId="2">#REF!</definedName>
    <definedName name="School" localSheetId="18">#REF!</definedName>
    <definedName name="School" localSheetId="20">#REF!</definedName>
    <definedName name="School">#REF!</definedName>
    <definedName name="secondary">[1]SchoolTable!$A$1:$T$65536,[1]SchoolTable!$AM$1:$BD$65536,[1]SchoolTable!$BR$1:$EZ$65536</definedName>
    <definedName name="smrow" localSheetId="9">[1]SchoolTable!#REF!</definedName>
    <definedName name="smrow" localSheetId="0">[1]SchoolTable!#REF!</definedName>
    <definedName name="smrow" localSheetId="1">[1]SchoolTable!#REF!</definedName>
    <definedName name="smrow" localSheetId="2">[1]SchoolTable!#REF!</definedName>
    <definedName name="smrow" localSheetId="20">[1]SchoolTable!#REF!</definedName>
    <definedName name="smrow">[1]SchoolTable!#REF!</definedName>
    <definedName name="special">[1]SchoolTable!$A$1:$T$65536,[1]SchoolTable!$BE$1:$BS$65536,[1]SchoolTable!$BS$1:$BT$1,[1]SchoolTable!$BR$1:$CM$65536,[1]SchoolTable!$CQ$1:$EZ$65536</definedName>
    <definedName name="startdfes" localSheetId="9">#REF!</definedName>
    <definedName name="startdfes" localSheetId="0">#REF!</definedName>
    <definedName name="startdfes" localSheetId="1">#REF!</definedName>
    <definedName name="startdfes" localSheetId="2">#REF!</definedName>
    <definedName name="startdfes" localSheetId="20">#REF!</definedName>
    <definedName name="startdfes">#REF!</definedName>
    <definedName name="T2_Notes_Check" localSheetId="9">#REF!</definedName>
    <definedName name="T2_Notes_Check" localSheetId="0">#REF!</definedName>
    <definedName name="T2_Notes_Check" localSheetId="1">#REF!</definedName>
    <definedName name="T2_Notes_Check" localSheetId="2">#REF!</definedName>
    <definedName name="T2_Notes_Check" localSheetId="20">#REF!</definedName>
    <definedName name="T2_Notes_Check">#REF!</definedName>
    <definedName name="Table_2" localSheetId="9">[1]SchoolTable!$CM$1:$CM$65536,[1]SchoolTable!#REF!,[1]SchoolTable!$CP$1:$CP$65536,[1]SchoolTable!$CT$1:$CT$65536,[1]SchoolTable!$CW$1:$CW$65536,[1]SchoolTable!$CZ$1:$CZ$65536,[1]SchoolTable!$DC$1:$DC$65536,[1]SchoolTable!$DI$1:$DI$65536,[1]SchoolTable!$DQ$1:$DQ$65536,[1]SchoolTable!#REF!,[1]SchoolTable!$DX$1:$DX$65536</definedName>
    <definedName name="Table_2" localSheetId="0">[1]SchoolTable!$CM$1:$CM$65536,[1]SchoolTable!#REF!,[1]SchoolTable!$CP$1:$CP$65536,[1]SchoolTable!$CT$1:$CT$65536,[1]SchoolTable!$CW$1:$CW$65536,[1]SchoolTable!$CZ$1:$CZ$65536,[1]SchoolTable!$DC$1:$DC$65536,[1]SchoolTable!$DI$1:$DI$65536,[1]SchoolTable!$DQ$1:$DQ$65536,[1]SchoolTable!#REF!,[1]SchoolTable!$DX$1:$DX$65536</definedName>
    <definedName name="Table_2" localSheetId="1">[1]SchoolTable!$CM$1:$CM$65536,[1]SchoolTable!#REF!,[1]SchoolTable!$CP$1:$CP$65536,[1]SchoolTable!$CT$1:$CT$65536,[1]SchoolTable!$CW$1:$CW$65536,[1]SchoolTable!$CZ$1:$CZ$65536,[1]SchoolTable!$DC$1:$DC$65536,[1]SchoolTable!$DI$1:$DI$65536,[1]SchoolTable!$DQ$1:$DQ$65536,[1]SchoolTable!#REF!,[1]SchoolTable!$DX$1:$DX$65536</definedName>
    <definedName name="Table_2" localSheetId="2">[1]SchoolTable!$CM$1:$CM$65536,[1]SchoolTable!#REF!,[1]SchoolTable!$CP$1:$CP$65536,[1]SchoolTable!$CT$1:$CT$65536,[1]SchoolTable!$CW$1:$CW$65536,[1]SchoolTable!$CZ$1:$CZ$65536,[1]SchoolTable!$DC$1:$DC$65536,[1]SchoolTable!$DI$1:$DI$65536,[1]SchoolTable!$DQ$1:$DQ$65536,[1]SchoolTable!#REF!,[1]SchoolTable!$DX$1:$DX$65536</definedName>
    <definedName name="Table_2" localSheetId="20">[1]SchoolTable!$CM$1:$CM$65536,[1]SchoolTable!#REF!,[1]SchoolTable!$CP$1:$CP$65536,[1]SchoolTable!$CT$1:$CT$65536,[1]SchoolTable!$CW$1:$CW$65536,[1]SchoolTable!$CZ$1:$CZ$65536,[1]SchoolTable!$DC$1:$DC$65536,[1]SchoolTable!$DI$1:$DI$65536,[1]SchoolTable!$DQ$1:$DQ$65536,[1]SchoolTable!#REF!,[1]SchoolTable!$DX$1:$DX$65536</definedName>
    <definedName name="Table_2">[1]SchoolTable!$CM$1:$CM$65536,[1]SchoolTable!#REF!,[1]SchoolTable!$CP$1:$CP$65536,[1]SchoolTable!$CT$1:$CT$65536,[1]SchoolTable!$CW$1:$CW$65536,[1]SchoolTable!$CZ$1:$CZ$65536,[1]SchoolTable!$DC$1:$DC$65536,[1]SchoolTable!$DI$1:$DI$65536,[1]SchoolTable!$DQ$1:$DQ$65536,[1]SchoolTable!#REF!,[1]SchoolTable!$DX$1:$DX$65536</definedName>
    <definedName name="Table2">[1]SchoolTable!$A$1:$F$65536,[1]SchoolTable!$L$1:$N$65536,[1]SchoolTable!$S$1:$T$65536,[1]SchoolTable!$AK$1:$AL$65536,[1]SchoolTable!$BC$1:$BD$65536,[1]SchoolTable!$BP$1:$BQ$65536,[1]SchoolTable!$BR$1:$BR$65536</definedName>
    <definedName name="Table2_2">[1]SchoolTable!$CE$1:$CE$65536,[1]SchoolTable!$CM$1:$CM$65536,[1]SchoolTable!$CP$1:$CP$65536,[1]SchoolTable!$CT$1:$CT$65536,[1]SchoolTable!$CW$1:$CW$65536,[1]SchoolTable!$CZ$1:$CZ$65536,[1]SchoolTable!$DC$1:$DC$65536</definedName>
    <definedName name="Table2_3">[1]SchoolTable!$DI$1:$DI$65536,[1]SchoolTable!$DQ$1:$DQ$65536,[1]SchoolTable!$DX$1:$DX$65536,[1]SchoolTable!$EB$1:$EB$65536,[1]SchoolTable!$EE$1:$EE$65536,[1]SchoolTable!$EH$1:$EH$65536,[1]SchoolTable!$EO$1:$EO$65536</definedName>
    <definedName name="Table2_5" localSheetId="9">[1]SchoolTable!$CM$1:$CM$65536,[1]SchoolTable!#REF!,[1]SchoolTable!$CP$1:$CP$65536,[1]SchoolTable!$CT$1:$CT$65536,[1]SchoolTable!$CW$1:$CW$65536,[1]SchoolTable!$CZ$1:$CZ$65536</definedName>
    <definedName name="Table2_5" localSheetId="0">[1]SchoolTable!$CM$1:$CM$65536,[1]SchoolTable!#REF!,[1]SchoolTable!$CP$1:$CP$65536,[1]SchoolTable!$CT$1:$CT$65536,[1]SchoolTable!$CW$1:$CW$65536,[1]SchoolTable!$CZ$1:$CZ$65536</definedName>
    <definedName name="Table2_5" localSheetId="1">[1]SchoolTable!$CM$1:$CM$65536,[1]SchoolTable!#REF!,[1]SchoolTable!$CP$1:$CP$65536,[1]SchoolTable!$CT$1:$CT$65536,[1]SchoolTable!$CW$1:$CW$65536,[1]SchoolTable!$CZ$1:$CZ$65536</definedName>
    <definedName name="Table2_5" localSheetId="2">[1]SchoolTable!$CM$1:$CM$65536,[1]SchoolTable!#REF!,[1]SchoolTable!$CP$1:$CP$65536,[1]SchoolTable!$CT$1:$CT$65536,[1]SchoolTable!$CW$1:$CW$65536,[1]SchoolTable!$CZ$1:$CZ$65536</definedName>
    <definedName name="Table2_5" localSheetId="20">[1]SchoolTable!$CM$1:$CM$65536,[1]SchoolTable!#REF!,[1]SchoolTable!$CP$1:$CP$65536,[1]SchoolTable!$CT$1:$CT$65536,[1]SchoolTable!$CW$1:$CW$65536,[1]SchoolTable!$CZ$1:$CZ$65536</definedName>
    <definedName name="Table2_5">[1]SchoolTable!$CM$1:$CM$65536,[1]SchoolTable!#REF!,[1]SchoolTable!$CP$1:$CP$65536,[1]SchoolTable!$CT$1:$CT$65536,[1]SchoolTable!$CW$1:$CW$65536,[1]SchoolTable!$CZ$1:$CZ$65536</definedName>
    <definedName name="TableName">"Dummy"</definedName>
    <definedName name="zdata" localSheetId="6">#REF!</definedName>
    <definedName name="zdata" localSheetId="5">#REF!</definedName>
    <definedName name="zdata" localSheetId="4">#REF!</definedName>
    <definedName name="zdata" localSheetId="17">#REF!</definedName>
    <definedName name="zdata" localSheetId="9">#REF!</definedName>
    <definedName name="zdata" localSheetId="0">#REF!</definedName>
    <definedName name="zdata" localSheetId="1">#REF!</definedName>
    <definedName name="zdata" localSheetId="2">#REF!</definedName>
    <definedName name="zdata" localSheetId="18">#REF!</definedName>
    <definedName name="zdata" localSheetId="20">#REF!</definedName>
    <definedName name="zdata">#REF!</definedName>
  </definedNames>
  <calcPr calcId="145621"/>
</workbook>
</file>

<file path=xl/calcChain.xml><?xml version="1.0" encoding="utf-8"?>
<calcChain xmlns="http://schemas.openxmlformats.org/spreadsheetml/2006/main">
  <c r="I121" i="20" l="1"/>
  <c r="I120" i="20"/>
  <c r="I124" i="20"/>
  <c r="C10" i="20" l="1"/>
  <c r="G102" i="20" l="1"/>
  <c r="C5" i="28" l="1"/>
  <c r="D26" i="28" l="1"/>
  <c r="D20" i="28"/>
  <c r="B14" i="28"/>
  <c r="D14" i="28" s="1"/>
  <c r="D24" i="28"/>
  <c r="D18" i="28"/>
  <c r="B12" i="28"/>
  <c r="D12" i="28" s="1"/>
  <c r="D30" i="28"/>
  <c r="D16" i="28"/>
  <c r="B10" i="28"/>
  <c r="D10" i="28" s="1"/>
  <c r="D22" i="28"/>
  <c r="F34" i="20"/>
  <c r="G101" i="20"/>
  <c r="G89" i="20"/>
  <c r="E89" i="20"/>
  <c r="B110" i="20" s="1"/>
  <c r="D28" i="28" l="1"/>
  <c r="E97" i="20"/>
  <c r="B107" i="20"/>
  <c r="B106" i="20"/>
  <c r="D104" i="20"/>
  <c r="E98" i="20"/>
  <c r="E99" i="20"/>
  <c r="B108" i="20"/>
  <c r="B105" i="20"/>
  <c r="B94" i="20" l="1"/>
  <c r="B95" i="20"/>
  <c r="G110" i="20"/>
  <c r="G109" i="20"/>
  <c r="G108" i="20"/>
  <c r="G107" i="20"/>
  <c r="G106" i="20"/>
  <c r="G105" i="20"/>
  <c r="G104" i="20"/>
  <c r="D95" i="20" l="1"/>
  <c r="G95" i="20" s="1"/>
  <c r="D94" i="20"/>
  <c r="G94" i="20" s="1"/>
  <c r="D99" i="20" l="1"/>
  <c r="G99" i="20" s="1"/>
  <c r="D92" i="20"/>
  <c r="G92" i="20" s="1"/>
  <c r="D97" i="20"/>
  <c r="G97" i="20" s="1"/>
  <c r="D93" i="20"/>
  <c r="G93" i="20" s="1"/>
  <c r="D98" i="20" l="1"/>
  <c r="G98" i="20" s="1"/>
  <c r="G112" i="20" l="1"/>
  <c r="D36" i="20" l="1"/>
  <c r="B5" i="20"/>
  <c r="D61" i="20" l="1"/>
  <c r="G61" i="20" s="1"/>
  <c r="D9" i="20"/>
  <c r="D11" i="20"/>
  <c r="D10" i="20"/>
  <c r="D56" i="20"/>
  <c r="G56" i="20" s="1"/>
  <c r="D76" i="20"/>
  <c r="G76" i="20" s="1"/>
  <c r="D82" i="20"/>
  <c r="G82" i="20" s="1"/>
  <c r="D78" i="20"/>
  <c r="G78" i="20" s="1"/>
  <c r="D80" i="20"/>
  <c r="G80" i="20" s="1"/>
  <c r="D72" i="20"/>
  <c r="G72" i="20" s="1"/>
  <c r="D74" i="20"/>
  <c r="G74" i="20" s="1"/>
  <c r="D124" i="20"/>
  <c r="D66" i="20"/>
  <c r="D51" i="20"/>
  <c r="G51" i="20" s="1"/>
  <c r="D68" i="20"/>
  <c r="G68" i="20" s="1"/>
  <c r="D70" i="20"/>
  <c r="G70" i="20" s="1"/>
  <c r="G34" i="20"/>
  <c r="G36" i="20"/>
  <c r="D84" i="20" l="1"/>
  <c r="G124" i="20"/>
  <c r="G66" i="20"/>
  <c r="G84" i="20" s="1"/>
  <c r="D38" i="20" l="1"/>
  <c r="G38" i="20" s="1"/>
  <c r="D40" i="20" l="1"/>
  <c r="G40" i="20" s="1"/>
  <c r="F11" i="20" l="1"/>
  <c r="F10" i="20"/>
  <c r="F9" i="20" l="1"/>
  <c r="F12" i="20" s="1"/>
  <c r="F29" i="20" l="1"/>
  <c r="G29" i="20" s="1"/>
  <c r="F28" i="20"/>
  <c r="G28" i="20" s="1"/>
  <c r="F32" i="20"/>
  <c r="G32" i="20" s="1"/>
  <c r="F31" i="20"/>
  <c r="G31" i="20" s="1"/>
  <c r="H29" i="20" l="1"/>
  <c r="H32" i="20"/>
  <c r="F26" i="20"/>
  <c r="G26" i="20" s="1"/>
  <c r="F21" i="20"/>
  <c r="F24" i="20"/>
  <c r="G24" i="20" s="1"/>
  <c r="E18" i="20" l="1"/>
  <c r="E17" i="20" l="1"/>
  <c r="E19" i="20"/>
  <c r="F20" i="20"/>
  <c r="E16" i="20"/>
  <c r="E20" i="20"/>
  <c r="F18" i="20"/>
  <c r="G18" i="20" s="1"/>
  <c r="F17" i="20"/>
  <c r="E21" i="20"/>
  <c r="G21" i="20" s="1"/>
  <c r="F16" i="20"/>
  <c r="F19" i="20"/>
  <c r="G20" i="20" l="1"/>
  <c r="G16" i="20"/>
  <c r="G19" i="20"/>
  <c r="G17" i="20"/>
  <c r="E15" i="20" l="1"/>
  <c r="F15" i="20" l="1"/>
  <c r="F22" i="20" s="1"/>
  <c r="E22" i="20"/>
  <c r="G15" i="20" l="1"/>
  <c r="G22" i="20" s="1"/>
  <c r="C11" i="20" l="1"/>
  <c r="C9" i="20" l="1"/>
  <c r="D42" i="20" l="1"/>
  <c r="G42" i="20" l="1"/>
  <c r="D44" i="20" l="1"/>
  <c r="E9" i="20" l="1"/>
  <c r="G9" i="20" s="1"/>
  <c r="E11" i="20"/>
  <c r="G11" i="20" s="1"/>
  <c r="E10" i="20"/>
  <c r="G10" i="20" s="1"/>
  <c r="G44" i="20"/>
  <c r="G12" i="20" l="1"/>
  <c r="D46" i="20" s="1"/>
  <c r="G46" i="20" s="1"/>
  <c r="G115" i="20" s="1"/>
  <c r="G117" i="20" s="1"/>
  <c r="J115" i="20" l="1"/>
  <c r="G111" i="20" l="1"/>
  <c r="G113" i="20" s="1"/>
  <c r="I115" i="20" s="1"/>
</calcChain>
</file>

<file path=xl/comments1.xml><?xml version="1.0" encoding="utf-8"?>
<comments xmlns="http://schemas.openxmlformats.org/spreadsheetml/2006/main">
  <authors>
    <author>Any DCC User</author>
  </authors>
  <commentList>
    <comment ref="A3" authorId="0">
      <text>
        <r>
          <rPr>
            <b/>
            <sz val="9"/>
            <color indexed="81"/>
            <rFont val="Tahoma"/>
            <family val="2"/>
          </rPr>
          <t>Selecting your school:</t>
        </r>
        <r>
          <rPr>
            <sz val="9"/>
            <color indexed="81"/>
            <rFont val="Tahoma"/>
            <family val="2"/>
          </rPr>
          <t xml:space="preserve">
Select the name of your school from the available list. Click on the arrow button for a full list of available schools. Click on the school name to select the school.</t>
        </r>
      </text>
    </comment>
  </commentList>
</comments>
</file>

<file path=xl/comments10.xml><?xml version="1.0" encoding="utf-8"?>
<comments xmlns="http://schemas.openxmlformats.org/spreadsheetml/2006/main">
  <authors>
    <author>Goodacre, Kelly</author>
    <author>Al Appleby</author>
  </authors>
  <commentList>
    <comment ref="EZ96" authorId="0">
      <text>
        <r>
          <rPr>
            <b/>
            <sz val="9"/>
            <color indexed="81"/>
            <rFont val="Tahoma"/>
            <family val="2"/>
          </rPr>
          <t>Goodacre, Kelly:</t>
        </r>
        <r>
          <rPr>
            <sz val="9"/>
            <color indexed="81"/>
            <rFont val="Tahoma"/>
            <family val="2"/>
          </rPr>
          <t xml:space="preserve">
</t>
        </r>
      </text>
    </comment>
    <comment ref="CX103" authorId="1">
      <text>
        <r>
          <rPr>
            <b/>
            <sz val="8"/>
            <color indexed="81"/>
            <rFont val="Tahoma"/>
            <family val="2"/>
          </rPr>
          <t>Al Appleby:</t>
        </r>
        <r>
          <rPr>
            <sz val="8"/>
            <color indexed="81"/>
            <rFont val="Tahoma"/>
            <family val="2"/>
          </rPr>
          <t xml:space="preserve">
To be removed in 2013-14</t>
        </r>
      </text>
    </comment>
  </commentList>
</comments>
</file>

<file path=xl/comments11.xml><?xml version="1.0" encoding="utf-8"?>
<comments xmlns="http://schemas.openxmlformats.org/spreadsheetml/2006/main">
  <authors>
    <author>Al Appleby</author>
  </authors>
  <commentList>
    <comment ref="D2" authorId="0">
      <text>
        <r>
          <rPr>
            <b/>
            <sz val="8"/>
            <color indexed="81"/>
            <rFont val="Tahoma"/>
            <family val="2"/>
          </rPr>
          <t>Al Appleby:</t>
        </r>
        <r>
          <rPr>
            <sz val="8"/>
            <color indexed="81"/>
            <rFont val="Tahoma"/>
            <family val="2"/>
          </rPr>
          <t xml:space="preserve">
Places times 38 weeks
</t>
        </r>
      </text>
    </comment>
    <comment ref="E2" authorId="0">
      <text>
        <r>
          <rPr>
            <b/>
            <sz val="8"/>
            <color indexed="81"/>
            <rFont val="Tahoma"/>
            <family val="2"/>
          </rPr>
          <t>Al Appleby:</t>
        </r>
        <r>
          <rPr>
            <sz val="8"/>
            <color indexed="81"/>
            <rFont val="Tahoma"/>
            <family val="2"/>
          </rPr>
          <t xml:space="preserve">
Places times 30 for two 15 hr sessions per week</t>
        </r>
      </text>
    </comment>
  </commentList>
</comments>
</file>

<file path=xl/comments12.xml><?xml version="1.0" encoding="utf-8"?>
<comments xmlns="http://schemas.openxmlformats.org/spreadsheetml/2006/main">
  <authors>
    <author>Al Appleby</author>
    <author>Any DCC User</author>
  </authors>
  <commentList>
    <comment ref="D2" authorId="0">
      <text>
        <r>
          <rPr>
            <b/>
            <sz val="8"/>
            <color indexed="81"/>
            <rFont val="Tahoma"/>
            <family val="2"/>
          </rPr>
          <t>Al Appleby:</t>
        </r>
        <r>
          <rPr>
            <sz val="8"/>
            <color indexed="81"/>
            <rFont val="Tahoma"/>
            <family val="2"/>
          </rPr>
          <t xml:space="preserve">
Places times 38 weeks
</t>
        </r>
      </text>
    </comment>
    <comment ref="E2" authorId="0">
      <text>
        <r>
          <rPr>
            <b/>
            <sz val="8"/>
            <color indexed="81"/>
            <rFont val="Tahoma"/>
            <family val="2"/>
          </rPr>
          <t>Al Appleby:</t>
        </r>
        <r>
          <rPr>
            <sz val="8"/>
            <color indexed="81"/>
            <rFont val="Tahoma"/>
            <family val="2"/>
          </rPr>
          <t xml:space="preserve">
Places times 30 for two 15 hr sessions per week</t>
        </r>
      </text>
    </comment>
    <comment ref="AM29" authorId="1">
      <text>
        <r>
          <rPr>
            <b/>
            <sz val="9"/>
            <color indexed="81"/>
            <rFont val="Tahoma"/>
            <family val="2"/>
          </rPr>
          <t>Any DCC User:</t>
        </r>
        <r>
          <rPr>
            <sz val="9"/>
            <color indexed="81"/>
            <rFont val="Tahoma"/>
            <family val="2"/>
          </rPr>
          <t xml:space="preserve">
Academies don't de-delegate</t>
        </r>
      </text>
    </comment>
    <comment ref="AM46" authorId="1">
      <text>
        <r>
          <rPr>
            <b/>
            <sz val="9"/>
            <color indexed="81"/>
            <rFont val="Tahoma"/>
            <family val="2"/>
          </rPr>
          <t>Any DCC User:</t>
        </r>
        <r>
          <rPr>
            <sz val="9"/>
            <color indexed="81"/>
            <rFont val="Tahoma"/>
            <family val="2"/>
          </rPr>
          <t xml:space="preserve">
Academies don't de-delegate</t>
        </r>
      </text>
    </comment>
  </commentList>
</comments>
</file>

<file path=xl/comments2.xml><?xml version="1.0" encoding="utf-8"?>
<comments xmlns="http://schemas.openxmlformats.org/spreadsheetml/2006/main">
  <authors>
    <author>Goodacre, Kelly</author>
  </authors>
  <commentList>
    <comment ref="Y16" authorId="0">
      <text>
        <r>
          <rPr>
            <b/>
            <sz val="9"/>
            <color indexed="81"/>
            <rFont val="Tahoma"/>
            <family val="2"/>
          </rPr>
          <t>Goodacre, Kelly:</t>
        </r>
        <r>
          <rPr>
            <sz val="9"/>
            <color indexed="81"/>
            <rFont val="Tahoma"/>
            <family val="2"/>
          </rPr>
          <t xml:space="preserve">
26 places + 1 double funded place</t>
        </r>
      </text>
    </comment>
    <comment ref="AA16" authorId="0">
      <text>
        <r>
          <rPr>
            <b/>
            <sz val="9"/>
            <color indexed="81"/>
            <rFont val="Tahoma"/>
            <family val="2"/>
          </rPr>
          <t>Goodacre, Kelly:</t>
        </r>
        <r>
          <rPr>
            <sz val="9"/>
            <color indexed="81"/>
            <rFont val="Tahoma"/>
            <family val="2"/>
          </rPr>
          <t xml:space="preserve">
26 places + 1 double funded place</t>
        </r>
      </text>
    </comment>
  </commentList>
</comments>
</file>

<file path=xl/comments3.xml><?xml version="1.0" encoding="utf-8"?>
<comments xmlns="http://schemas.openxmlformats.org/spreadsheetml/2006/main">
  <authors>
    <author>Goodacre, Kelly</author>
    <author>Wain, Jocelyn</author>
  </authors>
  <commentList>
    <comment ref="Y16" authorId="0">
      <text>
        <r>
          <rPr>
            <b/>
            <sz val="9"/>
            <color indexed="81"/>
            <rFont val="Tahoma"/>
            <family val="2"/>
          </rPr>
          <t>Goodacre, Kelly:</t>
        </r>
        <r>
          <rPr>
            <sz val="9"/>
            <color indexed="81"/>
            <rFont val="Tahoma"/>
            <family val="2"/>
          </rPr>
          <t xml:space="preserve">
26 places + 1 double funded place</t>
        </r>
      </text>
    </comment>
    <comment ref="AA16" authorId="0">
      <text>
        <r>
          <rPr>
            <b/>
            <sz val="9"/>
            <color indexed="81"/>
            <rFont val="Tahoma"/>
            <family val="2"/>
          </rPr>
          <t>Goodacre, Kelly:</t>
        </r>
        <r>
          <rPr>
            <sz val="9"/>
            <color indexed="81"/>
            <rFont val="Tahoma"/>
            <family val="2"/>
          </rPr>
          <t xml:space="preserve">
26 places + 1 double funded place</t>
        </r>
      </text>
    </comment>
    <comment ref="AP16" authorId="1">
      <text>
        <r>
          <rPr>
            <b/>
            <sz val="9"/>
            <color indexed="81"/>
            <rFont val="Tahoma"/>
            <family val="2"/>
          </rPr>
          <t>Wain, Jocelyn:</t>
        </r>
        <r>
          <rPr>
            <sz val="9"/>
            <color indexed="81"/>
            <rFont val="Tahoma"/>
            <family val="2"/>
          </rPr>
          <t xml:space="preserve">
1 increased to band 6. Band 6 has double resource as a band 5</t>
        </r>
      </text>
    </comment>
    <comment ref="AW16" authorId="1">
      <text>
        <r>
          <rPr>
            <b/>
            <sz val="9"/>
            <color indexed="81"/>
            <rFont val="Tahoma"/>
            <family val="2"/>
          </rPr>
          <t>Wain, Jocelyn:</t>
        </r>
        <r>
          <rPr>
            <sz val="9"/>
            <color indexed="81"/>
            <rFont val="Tahoma"/>
            <family val="2"/>
          </rPr>
          <t xml:space="preserve">
1 increased to band 6. Band 6 has double resource as a band 5</t>
        </r>
      </text>
    </comment>
  </commentList>
</comments>
</file>

<file path=xl/comments4.xml><?xml version="1.0" encoding="utf-8"?>
<comments xmlns="http://schemas.openxmlformats.org/spreadsheetml/2006/main">
  <authors>
    <author>Goodacre, Kelly</author>
    <author>Wain, Jocelyn</author>
  </authors>
  <commentList>
    <comment ref="Y16" authorId="0">
      <text>
        <r>
          <rPr>
            <b/>
            <sz val="9"/>
            <color indexed="81"/>
            <rFont val="Tahoma"/>
            <family val="2"/>
          </rPr>
          <t>Goodacre, Kelly:</t>
        </r>
        <r>
          <rPr>
            <sz val="9"/>
            <color indexed="81"/>
            <rFont val="Tahoma"/>
            <family val="2"/>
          </rPr>
          <t xml:space="preserve">
26 places + 1 double funded place</t>
        </r>
      </text>
    </comment>
    <comment ref="AA16" authorId="0">
      <text>
        <r>
          <rPr>
            <b/>
            <sz val="9"/>
            <color indexed="81"/>
            <rFont val="Tahoma"/>
            <family val="2"/>
          </rPr>
          <t>Goodacre, Kelly:</t>
        </r>
        <r>
          <rPr>
            <sz val="9"/>
            <color indexed="81"/>
            <rFont val="Tahoma"/>
            <family val="2"/>
          </rPr>
          <t xml:space="preserve">
26 places + 1 double funded place</t>
        </r>
      </text>
    </comment>
    <comment ref="AP16" authorId="1">
      <text>
        <r>
          <rPr>
            <b/>
            <sz val="9"/>
            <color indexed="81"/>
            <rFont val="Tahoma"/>
            <family val="2"/>
          </rPr>
          <t>Wain, Jocelyn:</t>
        </r>
        <r>
          <rPr>
            <sz val="9"/>
            <color indexed="81"/>
            <rFont val="Tahoma"/>
            <family val="2"/>
          </rPr>
          <t xml:space="preserve">
1 increased to band 6. Band 6 has double resource as a band 5</t>
        </r>
      </text>
    </comment>
  </commentList>
</comments>
</file>

<file path=xl/comments5.xml><?xml version="1.0" encoding="utf-8"?>
<comments xmlns="http://schemas.openxmlformats.org/spreadsheetml/2006/main">
  <authors>
    <author>Goodacre, Kelly</author>
    <author>Any DCC User</author>
  </authors>
  <commentList>
    <comment ref="D9" authorId="0">
      <text>
        <r>
          <rPr>
            <b/>
            <sz val="9"/>
            <color indexed="81"/>
            <rFont val="Tahoma"/>
            <family val="2"/>
          </rPr>
          <t>Goodacre, Kelly:</t>
        </r>
        <r>
          <rPr>
            <sz val="9"/>
            <color indexed="81"/>
            <rFont val="Tahoma"/>
            <family val="2"/>
          </rPr>
          <t xml:space="preserve">
26 places + 1 double funded place</t>
        </r>
      </text>
    </comment>
    <comment ref="H14" authorId="1">
      <text>
        <r>
          <rPr>
            <b/>
            <sz val="9"/>
            <color indexed="81"/>
            <rFont val="Tahoma"/>
            <family val="2"/>
          </rPr>
          <t>Any DCC User:</t>
        </r>
        <r>
          <rPr>
            <sz val="9"/>
            <color indexed="81"/>
            <rFont val="Tahoma"/>
            <family val="2"/>
          </rPr>
          <t xml:space="preserve">
agreed AP fully funded as staffing levels</t>
        </r>
      </text>
    </comment>
    <comment ref="H15" authorId="1">
      <text>
        <r>
          <rPr>
            <b/>
            <sz val="9"/>
            <color indexed="81"/>
            <rFont val="Tahoma"/>
            <family val="2"/>
          </rPr>
          <t>Any DCC User:</t>
        </r>
        <r>
          <rPr>
            <sz val="9"/>
            <color indexed="81"/>
            <rFont val="Tahoma"/>
            <family val="2"/>
          </rPr>
          <t xml:space="preserve">
agreed AP fully funded as staffing levels</t>
        </r>
      </text>
    </comment>
  </commentList>
</comments>
</file>

<file path=xl/comments6.xml><?xml version="1.0" encoding="utf-8"?>
<comments xmlns="http://schemas.openxmlformats.org/spreadsheetml/2006/main">
  <authors>
    <author>Any DCC User</author>
  </authors>
  <commentList>
    <comment ref="B3" authorId="0">
      <text>
        <r>
          <rPr>
            <b/>
            <sz val="9"/>
            <color indexed="81"/>
            <rFont val="Tahoma"/>
            <family val="2"/>
          </rPr>
          <t>Selecting your school:</t>
        </r>
        <r>
          <rPr>
            <sz val="9"/>
            <color indexed="81"/>
            <rFont val="Tahoma"/>
            <family val="2"/>
          </rPr>
          <t xml:space="preserve">
Select the name of your school from the available list. Click on the arrow button for a full list of available schools. Click on the school name to select the school.</t>
        </r>
      </text>
    </comment>
  </commentList>
</comments>
</file>

<file path=xl/comments7.xml><?xml version="1.0" encoding="utf-8"?>
<comments xmlns="http://schemas.openxmlformats.org/spreadsheetml/2006/main">
  <authors>
    <author>Wain, Jocelyn</author>
  </authors>
  <commentList>
    <comment ref="BM88" authorId="0">
      <text>
        <r>
          <rPr>
            <b/>
            <sz val="9"/>
            <color indexed="81"/>
            <rFont val="Tahoma"/>
            <family val="2"/>
          </rPr>
          <t>Wain, Jocelyn:</t>
        </r>
        <r>
          <rPr>
            <sz val="9"/>
            <color indexed="81"/>
            <rFont val="Tahoma"/>
            <family val="2"/>
          </rPr>
          <t xml:space="preserve">
was 4387229 - reduction of £354937</t>
        </r>
      </text>
    </comment>
  </commentList>
</comments>
</file>

<file path=xl/comments8.xml><?xml version="1.0" encoding="utf-8"?>
<comments xmlns="http://schemas.openxmlformats.org/spreadsheetml/2006/main">
  <authors>
    <author>Goodacre, Kelly</author>
    <author>Kelly Goodacre</author>
  </authors>
  <commentList>
    <comment ref="K12" authorId="0">
      <text>
        <r>
          <rPr>
            <b/>
            <sz val="9"/>
            <color indexed="81"/>
            <rFont val="Tahoma"/>
            <family val="2"/>
          </rPr>
          <t>Goodacre, Kelly:</t>
        </r>
        <r>
          <rPr>
            <sz val="9"/>
            <color indexed="81"/>
            <rFont val="Tahoma"/>
            <family val="2"/>
          </rPr>
          <t xml:space="preserve">
adjustment to take whole budget less centrally retained then split equally between all FTE and places</t>
        </r>
      </text>
    </comment>
    <comment ref="K13" authorId="0">
      <text>
        <r>
          <rPr>
            <b/>
            <sz val="9"/>
            <color indexed="81"/>
            <rFont val="Tahoma"/>
            <family val="2"/>
          </rPr>
          <t>Goodacre, Kelly:</t>
        </r>
        <r>
          <rPr>
            <sz val="9"/>
            <color indexed="81"/>
            <rFont val="Tahoma"/>
            <family val="2"/>
          </rPr>
          <t xml:space="preserve">
adjustment to take whole budget less centrally retained then split equally between all FTE and places</t>
        </r>
      </text>
    </comment>
    <comment ref="K14" authorId="0">
      <text>
        <r>
          <rPr>
            <b/>
            <sz val="9"/>
            <color indexed="81"/>
            <rFont val="Tahoma"/>
            <family val="2"/>
          </rPr>
          <t>Goodacre, Kelly:</t>
        </r>
        <r>
          <rPr>
            <sz val="9"/>
            <color indexed="81"/>
            <rFont val="Tahoma"/>
            <family val="2"/>
          </rPr>
          <t xml:space="preserve">
adjustment to take whole budget less centrally retained then split equally between all FTE and places</t>
        </r>
      </text>
    </comment>
    <comment ref="K15" authorId="0">
      <text>
        <r>
          <rPr>
            <b/>
            <sz val="9"/>
            <color indexed="81"/>
            <rFont val="Tahoma"/>
            <family val="2"/>
          </rPr>
          <t>Goodacre, Kelly:</t>
        </r>
        <r>
          <rPr>
            <sz val="9"/>
            <color indexed="81"/>
            <rFont val="Tahoma"/>
            <family val="2"/>
          </rPr>
          <t xml:space="preserve">
adjustment to take whole budget less centrally retained then split equally between all FTE and places</t>
        </r>
      </text>
    </comment>
    <comment ref="F60" authorId="1">
      <text>
        <r>
          <rPr>
            <b/>
            <sz val="10"/>
            <color indexed="81"/>
            <rFont val="Tahoma"/>
            <family val="2"/>
          </rPr>
          <t>Kelly Goodacre:</t>
        </r>
        <r>
          <rPr>
            <sz val="10"/>
            <color indexed="81"/>
            <rFont val="Tahoma"/>
            <family val="2"/>
          </rPr>
          <t xml:space="preserve">
adjusted as only Primary bought back</t>
        </r>
      </text>
    </comment>
    <comment ref="F63" authorId="1">
      <text>
        <r>
          <rPr>
            <b/>
            <sz val="10"/>
            <color indexed="81"/>
            <rFont val="Tahoma"/>
            <family val="2"/>
          </rPr>
          <t>Kelly Goodacre:</t>
        </r>
        <r>
          <rPr>
            <sz val="10"/>
            <color indexed="81"/>
            <rFont val="Tahoma"/>
            <family val="2"/>
          </rPr>
          <t xml:space="preserve">
didn’t buy back this service so nilled out for de-delegation</t>
        </r>
      </text>
    </comment>
  </commentList>
</comments>
</file>

<file path=xl/comments9.xml><?xml version="1.0" encoding="utf-8"?>
<comments xmlns="http://schemas.openxmlformats.org/spreadsheetml/2006/main">
  <authors>
    <author>Goodacre, Kelly</author>
  </authors>
  <commentList>
    <comment ref="AG22" authorId="0">
      <text>
        <r>
          <rPr>
            <b/>
            <sz val="9"/>
            <color indexed="81"/>
            <rFont val="Tahoma"/>
            <family val="2"/>
          </rPr>
          <t>Goodacre, Kelly:</t>
        </r>
        <r>
          <rPr>
            <sz val="9"/>
            <color indexed="81"/>
            <rFont val="Tahoma"/>
            <family val="2"/>
          </rPr>
          <t xml:space="preserve">
uprated to 7/12ths
</t>
        </r>
      </text>
    </comment>
  </commentList>
</comments>
</file>

<file path=xl/sharedStrings.xml><?xml version="1.0" encoding="utf-8"?>
<sst xmlns="http://schemas.openxmlformats.org/spreadsheetml/2006/main" count="5840" uniqueCount="1487">
  <si>
    <t>Prim MFG relating to Nurseries</t>
  </si>
  <si>
    <t>DfE Number</t>
  </si>
  <si>
    <t>School_Name</t>
  </si>
  <si>
    <t>Allenton Community Primary School</t>
  </si>
  <si>
    <t>Alvaston Infant and Nursery School</t>
  </si>
  <si>
    <t>Alvaston Junior School</t>
  </si>
  <si>
    <t>Arboretum Primary School</t>
  </si>
  <si>
    <t>Ash Croft Primary School</t>
  </si>
  <si>
    <t>Ashgate Primary School</t>
  </si>
  <si>
    <t>Asterdale Primary School</t>
  </si>
  <si>
    <t>Beaufort Community Primary School</t>
  </si>
  <si>
    <t>Becket Primary School</t>
  </si>
  <si>
    <t>Borrow Wood Primary School</t>
  </si>
  <si>
    <t>Boulton Primary School</t>
  </si>
  <si>
    <t>Brackensdale Infant School</t>
  </si>
  <si>
    <t>Brackensdale Junior School</t>
  </si>
  <si>
    <t>Breadsall Hill Top Infant School</t>
  </si>
  <si>
    <t>Breadsall Hill Top Junior School</t>
  </si>
  <si>
    <t>Brookfield Primary School</t>
  </si>
  <si>
    <t>Carlyle Infant School</t>
  </si>
  <si>
    <t>Cavendish Close Infant School</t>
  </si>
  <si>
    <t>Cavendish Close Junior School</t>
  </si>
  <si>
    <t>Chaddesden Park Infant School</t>
  </si>
  <si>
    <t>Chaddesden Park Junior School</t>
  </si>
  <si>
    <t>Chellaston Infant School</t>
  </si>
  <si>
    <t>Chellaston Junior School</t>
  </si>
  <si>
    <t>Cherry Tree Hill Primary School</t>
  </si>
  <si>
    <t>Dale Community Primary School</t>
  </si>
  <si>
    <t>Derby St Chad's CE (VC) Nursery and Infant School</t>
  </si>
  <si>
    <t>Derwent Community School</t>
  </si>
  <si>
    <t>Firs Estate Primary School</t>
  </si>
  <si>
    <t>Gayton Community Junior School</t>
  </si>
  <si>
    <t>Grampian Primary School</t>
  </si>
  <si>
    <t>Griffe Field Primary School</t>
  </si>
  <si>
    <t>Hardwick Primary School</t>
  </si>
  <si>
    <t>Homefields Primary School</t>
  </si>
  <si>
    <t>Lakeside Community Primary School</t>
  </si>
  <si>
    <t>Lawn Primary School</t>
  </si>
  <si>
    <t>Markeaton Primary School</t>
  </si>
  <si>
    <t>Meadow Farm Community Primary School</t>
  </si>
  <si>
    <t>Mickleover Primary School</t>
  </si>
  <si>
    <t>Moorhead Primary School</t>
  </si>
  <si>
    <t>Oakwood Infant and Nursery School</t>
  </si>
  <si>
    <t>Oakwood Junior School</t>
  </si>
  <si>
    <t>Osmaston Primary School</t>
  </si>
  <si>
    <t>Parkview Primary School</t>
  </si>
  <si>
    <t>Pear Tree Community Junior School</t>
  </si>
  <si>
    <t>Pear Tree Infant School</t>
  </si>
  <si>
    <t>Portway Infant School</t>
  </si>
  <si>
    <t>Portway Junior School</t>
  </si>
  <si>
    <t>Ravensdale Infant and Nursery School</t>
  </si>
  <si>
    <t>Ravensdale Junior School</t>
  </si>
  <si>
    <t>Redwood Primary School</t>
  </si>
  <si>
    <t>Reigate Primary School</t>
  </si>
  <si>
    <t>Ridgeway Infant School</t>
  </si>
  <si>
    <t>Roe Farm Primary School</t>
  </si>
  <si>
    <t>Rosehill Infant and Nursery School</t>
  </si>
  <si>
    <t>Shelton Infant School</t>
  </si>
  <si>
    <t>Shelton Junior School</t>
  </si>
  <si>
    <t>Silverhill Primary School</t>
  </si>
  <si>
    <t>Sinfin Primary School</t>
  </si>
  <si>
    <t>Springfield Primary School</t>
  </si>
  <si>
    <t>St George's Catholic Primary School</t>
  </si>
  <si>
    <t>St James' Church of England Aided Infant School</t>
  </si>
  <si>
    <t>St James' Church of England Aided Junior School</t>
  </si>
  <si>
    <t>St Joseph's Catholic Primary School, Derby</t>
  </si>
  <si>
    <t>St Mary's Catholic Primary School and Nursery</t>
  </si>
  <si>
    <t>St Peter's Church of England Aided Junior School</t>
  </si>
  <si>
    <t>St Werburgh's Church of England VA Primary School</t>
  </si>
  <si>
    <t>Village Primary School</t>
  </si>
  <si>
    <t>Wren Park Primary School</t>
  </si>
  <si>
    <t>Chellaston Academy</t>
  </si>
  <si>
    <t>da Vinci Community College</t>
  </si>
  <si>
    <t>Derby Moor Community Sports College</t>
  </si>
  <si>
    <t>Littleover Community School</t>
  </si>
  <si>
    <t>Merrill College</t>
  </si>
  <si>
    <t>Murray Park School</t>
  </si>
  <si>
    <t>Noel Baker Community School and Language College</t>
  </si>
  <si>
    <t>Sinfin Community School</t>
  </si>
  <si>
    <t>The Bemrose School</t>
  </si>
  <si>
    <t>West Park School</t>
  </si>
  <si>
    <t>NOR Jan 2012</t>
  </si>
  <si>
    <t>Total Primary</t>
  </si>
  <si>
    <t>Total Secondary</t>
  </si>
  <si>
    <t>FSM Ever 6</t>
  </si>
  <si>
    <t>IDACI Band 1 0.2 - 0.25</t>
  </si>
  <si>
    <t>IDACI Band 2 0.25 - 0.3</t>
  </si>
  <si>
    <t>IDACI Band 3 0.3 - 0.4</t>
  </si>
  <si>
    <t>IDACI Band 4 0.4 - 0.5</t>
  </si>
  <si>
    <t>IDACI Band 5 0.5 - 0.6</t>
  </si>
  <si>
    <t>IDACI Band 6 0.6 -1.0</t>
  </si>
  <si>
    <t>Looked After Children</t>
  </si>
  <si>
    <t>School Name</t>
  </si>
  <si>
    <t>Factor</t>
  </si>
  <si>
    <t>Description</t>
  </si>
  <si>
    <t>Number of Pupils</t>
  </si>
  <si>
    <t>Sub total (£)</t>
  </si>
  <si>
    <t>Total (£)</t>
  </si>
  <si>
    <t>2) Deprivation</t>
  </si>
  <si>
    <t>Number of eligible secondary pupils</t>
  </si>
  <si>
    <t>Number of eligible primary pupils</t>
  </si>
  <si>
    <t>3) Looked After Children (LAC)</t>
  </si>
  <si>
    <t>Per LAC child attending school</t>
  </si>
  <si>
    <t>Secondary pupils not achieving KS2 level 4 English and Maths</t>
  </si>
  <si>
    <t>Number</t>
  </si>
  <si>
    <t>1) Basic Entitlement - Age Weighted Pupil Funding (AWPU)</t>
  </si>
  <si>
    <t>St Alban's Catholic Primary School</t>
  </si>
  <si>
    <t>Walter Evans Church of England Aided Primary School</t>
  </si>
  <si>
    <t>Bishop Lonsdale Church of England Aided Primary School</t>
  </si>
  <si>
    <t>FSM</t>
  </si>
  <si>
    <t>Primary FSM Ever 6</t>
  </si>
  <si>
    <t>Secondary FSM Ever 6</t>
  </si>
  <si>
    <t>7) Lump Sum</t>
  </si>
  <si>
    <t>8) Split Site</t>
  </si>
  <si>
    <t>9) Rates</t>
  </si>
  <si>
    <t>Primary IDACI Band 1 0.2 - 0.25</t>
  </si>
  <si>
    <t>Secondary IDACI Band 1 0.2 - 0.25</t>
  </si>
  <si>
    <t>Primary IDACI Band 2 0.25 - 0.3</t>
  </si>
  <si>
    <t>Secondary IDACI Band 2 0.25 - 0.3</t>
  </si>
  <si>
    <t>Primary IDACI Band 3 0.3 - 0.4</t>
  </si>
  <si>
    <t>Secondary IDACI Band 3 0.3 - 0.4</t>
  </si>
  <si>
    <t>Primary IDACI Band 4 0.4 - 0.5</t>
  </si>
  <si>
    <t>Secondary IDACI Band 4 0.4 - 0.5</t>
  </si>
  <si>
    <t>Primary IDACI Band 5 0.5 - 0.6</t>
  </si>
  <si>
    <t>Secondary IDACI Band 5 0.5 - 0.6</t>
  </si>
  <si>
    <t>Primary IDACI Band 6 0.6 -1.0</t>
  </si>
  <si>
    <t>Secondary IDACI Band 6 0.6 -1.0</t>
  </si>
  <si>
    <t>Primary EAL 3</t>
  </si>
  <si>
    <t>Primary Low Prior Attainment</t>
  </si>
  <si>
    <t>Secondary Low Prior Attainment</t>
  </si>
  <si>
    <t>Primary Mobility</t>
  </si>
  <si>
    <t>Secondary Mobility</t>
  </si>
  <si>
    <t>6) Mobility</t>
  </si>
  <si>
    <t>5) English as an Additional Language</t>
  </si>
  <si>
    <t>Secondary pupils EAL funded for first 3 years in Statutory Education</t>
  </si>
  <si>
    <t>Primary pupils EAL funded for first 3 years in Statutory Education</t>
  </si>
  <si>
    <t>Minimum Funding Guarantee</t>
  </si>
  <si>
    <t>2012/13 Split Site</t>
  </si>
  <si>
    <t>2012/13 PFI funding</t>
  </si>
  <si>
    <t>Key Stage 3 (2012/13 level)</t>
  </si>
  <si>
    <t>Key Stage 4 (2012/13 level)</t>
  </si>
  <si>
    <t>Primary (including reception)</t>
  </si>
  <si>
    <t>less</t>
  </si>
  <si>
    <t>All Schools</t>
  </si>
  <si>
    <t>ALL</t>
  </si>
  <si>
    <t>Pri</t>
  </si>
  <si>
    <t>Sec</t>
  </si>
  <si>
    <t>Insurance Pupil Numbers</t>
  </si>
  <si>
    <t>Premises insurance</t>
  </si>
  <si>
    <t>S251 Insurance</t>
  </si>
  <si>
    <t>Per Pupil</t>
  </si>
  <si>
    <t>Total Pot</t>
  </si>
  <si>
    <t>Basic Entitlement</t>
  </si>
  <si>
    <t>Number of Pupils per factor</t>
  </si>
  <si>
    <t>Comparable budget 2012</t>
  </si>
  <si>
    <t>Enhanced Resource Funding</t>
  </si>
  <si>
    <t>Based on 2012 FF</t>
  </si>
  <si>
    <t>High Needs Block</t>
  </si>
  <si>
    <t>less £10,000 per place in the formula</t>
  </si>
  <si>
    <t>Residential Places (Specials)</t>
  </si>
  <si>
    <t>Day Places (Specials)</t>
  </si>
  <si>
    <t>ERS Unit places</t>
  </si>
  <si>
    <t>based on amount given to ERS places £3,865,140/10,000</t>
  </si>
  <si>
    <t>Less National Formula places</t>
  </si>
  <si>
    <t>High Needs Budget available for Top-up's etc.</t>
  </si>
  <si>
    <t>No.of places commissioned 2012</t>
  </si>
  <si>
    <t>2012 school formula budget places (excludes commissioning elsewhere)</t>
  </si>
  <si>
    <t>KS4</t>
  </si>
  <si>
    <t>KS3</t>
  </si>
  <si>
    <t>Primary</t>
  </si>
  <si>
    <t>Pupils</t>
  </si>
  <si>
    <t>doesn't change below:</t>
  </si>
  <si>
    <t>Pupil Number</t>
  </si>
  <si>
    <t>Special Schools - All funding</t>
  </si>
  <si>
    <t>Allocated</t>
  </si>
  <si>
    <t xml:space="preserve">AWPU </t>
  </si>
  <si>
    <t>2012/13 Allocations</t>
  </si>
  <si>
    <t>per pupil</t>
  </si>
  <si>
    <t>in phases per pupil</t>
  </si>
  <si>
    <t>Early Years Block</t>
  </si>
  <si>
    <t>Hours</t>
  </si>
  <si>
    <t>2 nurseries</t>
  </si>
  <si>
    <t>Stand alone Nurseries, Base</t>
  </si>
  <si>
    <t>8 Nurseries</t>
  </si>
  <si>
    <t>Maintained Hourly Rate</t>
  </si>
  <si>
    <t>PVI Hourly Rate</t>
  </si>
  <si>
    <t>PVI Dep</t>
  </si>
  <si>
    <t>PVI Vuln</t>
  </si>
  <si>
    <t>PVI EAL</t>
  </si>
  <si>
    <t>PVI MFG</t>
  </si>
  <si>
    <t>PVI CAP</t>
  </si>
  <si>
    <t>retro TA Hours</t>
  </si>
  <si>
    <t>TA Hours Primary &amp; Secondary</t>
  </si>
  <si>
    <t>Retrospective ERS Prim &amp; Sec</t>
  </si>
  <si>
    <t>TA Out of catchment Primary &amp; Sec</t>
  </si>
  <si>
    <t>Retrospective TA Hours Primary &amp; Sec</t>
  </si>
  <si>
    <t>TA Nursery Hours</t>
  </si>
  <si>
    <t>ERS Nursery</t>
  </si>
  <si>
    <t>ERS Nursery places</t>
  </si>
  <si>
    <t>based on amount given to ERS Nursery £168,619/10,000</t>
  </si>
  <si>
    <t>Vuln funding</t>
  </si>
  <si>
    <t>Insurance Total of £30 per pupil</t>
  </si>
  <si>
    <t>kept in phases</t>
  </si>
  <si>
    <t>allocated through formula factor</t>
  </si>
  <si>
    <t>All Secondary pupils</t>
  </si>
  <si>
    <t>All Secondary</t>
  </si>
  <si>
    <t>Option 1</t>
  </si>
  <si>
    <t>Maintenance - Assessed Need</t>
  </si>
  <si>
    <t>No. of schools</t>
  </si>
  <si>
    <t>Base Adjustment</t>
  </si>
  <si>
    <t>Admissions</t>
  </si>
  <si>
    <t>Per pupil</t>
  </si>
  <si>
    <t>Maintained Dep</t>
  </si>
  <si>
    <t>Maintained Vuln</t>
  </si>
  <si>
    <t>Maintained EAL</t>
  </si>
  <si>
    <t xml:space="preserve">Stand alone Nursery Rates </t>
  </si>
  <si>
    <t>Stand Alone AST prot</t>
  </si>
  <si>
    <t>Maintained Nursery MFG</t>
  </si>
  <si>
    <t>Maintained Prior year Adj</t>
  </si>
  <si>
    <t>Gross High Needs</t>
  </si>
  <si>
    <t>Net High Needs Block</t>
  </si>
  <si>
    <t>Secondary</t>
  </si>
  <si>
    <t>from Finbud</t>
  </si>
  <si>
    <t>from EYFF</t>
  </si>
  <si>
    <t>allocate on IDACI - to model</t>
  </si>
  <si>
    <t>total amount funded divided by new numbers to find new per hour rate?</t>
  </si>
  <si>
    <t>total amount funded divided by new numbers to find new per hour rate for EAL3</t>
  </si>
  <si>
    <t>actual</t>
  </si>
  <si>
    <t>ended</t>
  </si>
  <si>
    <t>will go up to 100,000 and reduce hourly rate?? Or add into hourly rate</t>
  </si>
  <si>
    <t>Per other formula factors</t>
  </si>
  <si>
    <t>Reconciliation to Ready reckoner</t>
  </si>
  <si>
    <t>3) Looked After Children (LAC) £</t>
  </si>
  <si>
    <t>4) Low cost, high incidence SEN £</t>
  </si>
  <si>
    <t>5) English as an Additional Language £</t>
  </si>
  <si>
    <t>6) Mobility £</t>
  </si>
  <si>
    <t>7) Lump Sum £</t>
  </si>
  <si>
    <t>8) Split Site £</t>
  </si>
  <si>
    <t>9) Rates £</t>
  </si>
  <si>
    <t>10) PFI Funding £</t>
  </si>
  <si>
    <t>KS3 pupils</t>
  </si>
  <si>
    <t>KS4 pupils</t>
  </si>
  <si>
    <t>Primary pupils R to Yr6</t>
  </si>
  <si>
    <t>Amount per primary pupil £</t>
  </si>
  <si>
    <t>Amount per secondary pupil £</t>
  </si>
  <si>
    <t>Amount per KS3 pupil £</t>
  </si>
  <si>
    <t>Amount per KS4 pupil £</t>
  </si>
  <si>
    <t>Primary Deprivation based on FSM £</t>
  </si>
  <si>
    <t>Secondary Deprivation based on FSM £</t>
  </si>
  <si>
    <t>Primary Deprivation based on FSM Ever 6 £</t>
  </si>
  <si>
    <t>Secondary Deprivation based on FSM Ever 6 £</t>
  </si>
  <si>
    <t>Primary Deprivation based on IDACI £</t>
  </si>
  <si>
    <t>Secondary Deprivation based on IDACI £</t>
  </si>
  <si>
    <t>Variance</t>
  </si>
  <si>
    <t>Per pupil (all prim &amp; sec pupils)</t>
  </si>
  <si>
    <t>Brookfield</t>
  </si>
  <si>
    <t>Newton's Walk / PRU</t>
  </si>
  <si>
    <t>Diploma</t>
  </si>
  <si>
    <t>Language Hub</t>
  </si>
  <si>
    <t>Quality PVI</t>
  </si>
  <si>
    <t>Need to remove any high needs pupils from NOR and Low Attainement if required</t>
  </si>
  <si>
    <t>Pre MFG Total</t>
  </si>
  <si>
    <t>Higher Needs Primary pupils R to Yr6</t>
  </si>
  <si>
    <t>Higher Needs KS3 pupils</t>
  </si>
  <si>
    <t>Higher Needs KS4 pupils</t>
  </si>
  <si>
    <t>Net Primary pupils R to Yr6</t>
  </si>
  <si>
    <t>Net KS3 pupils</t>
  </si>
  <si>
    <t>Net KS4 pupils</t>
  </si>
  <si>
    <t>Total NOR</t>
  </si>
  <si>
    <t>Net NOR</t>
  </si>
  <si>
    <t>PRU</t>
  </si>
  <si>
    <t>High needs places 19-24</t>
  </si>
  <si>
    <t>High Needs funding for 19-24</t>
  </si>
  <si>
    <t xml:space="preserve">                                                                                                                                                                                                                                                                                                                                                                                                                                                                                                                                                                                                                                                                                                                                                                                                                                                                                                                                                                          </t>
  </si>
  <si>
    <t>60% AWPU 40% FSM Ever6</t>
  </si>
  <si>
    <t>Remove and show seperately in delegation tab</t>
  </si>
  <si>
    <t>SF Agreed</t>
  </si>
  <si>
    <t>EAL Underachieving</t>
  </si>
  <si>
    <t>kept in phases, reduce AWPU if necessary</t>
  </si>
  <si>
    <t>Paid Meals</t>
  </si>
  <si>
    <t>LAC numbers</t>
  </si>
  <si>
    <t>LCHI SEN - Number of Secondary pupils not achieving Level 4 in English AND Maths</t>
  </si>
  <si>
    <t>Primary EAL 3 pupil numbers</t>
  </si>
  <si>
    <t>Secondary EAL 3 pupil numbers</t>
  </si>
  <si>
    <t>Primary English as an Additional Language £</t>
  </si>
  <si>
    <t>Secondary English as an Additional Language £</t>
  </si>
  <si>
    <t>1) Basic Entitlement - Age Weighted Pupil Funding (AWPU) £</t>
  </si>
  <si>
    <t>Primary Mobility £</t>
  </si>
  <si>
    <t>Secondary Mobility £</t>
  </si>
  <si>
    <t>Eyears bit</t>
  </si>
  <si>
    <t>IMD</t>
  </si>
  <si>
    <t>2) Total Deprivation based on FSM Ever6 &amp; IDACI  £</t>
  </si>
  <si>
    <t>Prim</t>
  </si>
  <si>
    <t>includes Nursery</t>
  </si>
  <si>
    <t>£168,619 part of finbud</t>
  </si>
  <si>
    <t>£70,626 part of finbud</t>
  </si>
  <si>
    <t>£18,646 part of finbud</t>
  </si>
  <si>
    <t>2012-13 Infant Class Size Funding as kept outside of formula</t>
  </si>
  <si>
    <t>DCSF No.</t>
  </si>
  <si>
    <t>School 1</t>
  </si>
  <si>
    <t>School 2</t>
  </si>
  <si>
    <t>School 3</t>
  </si>
  <si>
    <t>School 4</t>
  </si>
  <si>
    <t/>
  </si>
  <si>
    <t>Ashgate Nursery</t>
  </si>
  <si>
    <t>Castle Nursery</t>
  </si>
  <si>
    <t>Central Nursery</t>
  </si>
  <si>
    <t>Harrington Nursery</t>
  </si>
  <si>
    <t>Lord St Nursery</t>
  </si>
  <si>
    <t>Stonehill Nursery</t>
  </si>
  <si>
    <t>Walbrook Nursery</t>
  </si>
  <si>
    <t>Whitecross Nursery</t>
  </si>
  <si>
    <t>Alvaston Junior Community School</t>
  </si>
  <si>
    <t>Bishop Lonsdale Church of England (Aided) Primary School</t>
  </si>
  <si>
    <t>Homefields Primary</t>
  </si>
  <si>
    <t>Oakwood Infant School</t>
  </si>
  <si>
    <t>Ravensdale Infant School</t>
  </si>
  <si>
    <t>St Chad's Church of England (Controlled) Nursery and Infant School</t>
  </si>
  <si>
    <t>St James' Church of England (Aided) Infant School and Nursery</t>
  </si>
  <si>
    <t>St James' Church of England (Aided) Junior School</t>
  </si>
  <si>
    <t>St John Fisher Catholic Primary School</t>
  </si>
  <si>
    <t>St Joseph's Catholic Primary School</t>
  </si>
  <si>
    <t>St Mary's Catholic Primary School</t>
  </si>
  <si>
    <t>St Peter's Church of England (Aided) Junior School</t>
  </si>
  <si>
    <t>St Werburgh's Church of England (Aided) Primary School</t>
  </si>
  <si>
    <t>Walter Evans Church of England (Aided) Primary School</t>
  </si>
  <si>
    <t>Bemrose Community School</t>
  </si>
  <si>
    <t>Derby Moor Community School</t>
  </si>
  <si>
    <t>Lees Brook Community Sports College</t>
  </si>
  <si>
    <t>Murray Park Community School</t>
  </si>
  <si>
    <t>Noel-Baker Community School</t>
  </si>
  <si>
    <t>Saint Benedict Catholic School and Performing Arts College</t>
  </si>
  <si>
    <t>Woodlands Community School</t>
  </si>
  <si>
    <t>West Park Community School</t>
  </si>
  <si>
    <t>Chellaston School</t>
  </si>
  <si>
    <t>Landau</t>
  </si>
  <si>
    <t>MFG</t>
  </si>
  <si>
    <t>TOTAL BUDGET</t>
  </si>
  <si>
    <t>merged school now adjusted</t>
  </si>
  <si>
    <t>Chaddesden Park Primary School</t>
  </si>
  <si>
    <t>Delegated Budget</t>
  </si>
  <si>
    <t>Total Delegated</t>
  </si>
  <si>
    <t>%</t>
  </si>
  <si>
    <t>1.1.1</t>
  </si>
  <si>
    <t>1.1.2</t>
  </si>
  <si>
    <t>1.2.3</t>
  </si>
  <si>
    <t>1.3.2</t>
  </si>
  <si>
    <t>1.4.1</t>
  </si>
  <si>
    <t>1.5.2</t>
  </si>
  <si>
    <t>1.6.1</t>
  </si>
  <si>
    <t>1.6.2</t>
  </si>
  <si>
    <t>1.6.4</t>
  </si>
  <si>
    <t>1.6.7</t>
  </si>
  <si>
    <t>S251 Delegating to Schools</t>
  </si>
  <si>
    <t>Support for Schools in financial difficulty</t>
  </si>
  <si>
    <t>Contingencies</t>
  </si>
  <si>
    <t>Support for Inclusion (Primary pupil retention &amp; secondary in year fair access)</t>
  </si>
  <si>
    <t>Behaviour Support Services</t>
  </si>
  <si>
    <t>Gross</t>
  </si>
  <si>
    <t>Net</t>
  </si>
  <si>
    <t>Support to underperforming ethnic minority groups and bilingual learners &amp; language schools</t>
  </si>
  <si>
    <t>Free School meals eligibility</t>
  </si>
  <si>
    <t>Insurance</t>
  </si>
  <si>
    <t>Museum &amp; Library Services</t>
  </si>
  <si>
    <t>Staff costs supply cover</t>
  </si>
  <si>
    <t>cost centres</t>
  </si>
  <si>
    <t>3001101/3001102/3023107</t>
  </si>
  <si>
    <t>Narrative</t>
  </si>
  <si>
    <t>C/Centre</t>
  </si>
  <si>
    <t>Subjective</t>
  </si>
  <si>
    <t>Desc</t>
  </si>
  <si>
    <t>S251 line</t>
  </si>
  <si>
    <t>Comments</t>
  </si>
  <si>
    <t>Controllable</t>
  </si>
  <si>
    <t>Uncontrollable</t>
  </si>
  <si>
    <t>1.1.1  Support for schools in financial difficulty</t>
  </si>
  <si>
    <t>Schools in Financial Difficulty</t>
  </si>
  <si>
    <t>E5501</t>
  </si>
  <si>
    <t>STF Funding - Devolved</t>
  </si>
  <si>
    <t>1.1.1Gross</t>
  </si>
  <si>
    <t>E6574</t>
  </si>
  <si>
    <t>Miscellaneous Expenditure</t>
  </si>
  <si>
    <t>H1005</t>
  </si>
  <si>
    <t>Support Services - Marketing &amp; Communication</t>
  </si>
  <si>
    <t>H1016</t>
  </si>
  <si>
    <t>Support Services - Accountancy</t>
  </si>
  <si>
    <t>H1017</t>
  </si>
  <si>
    <t>Support Services - Financial Services</t>
  </si>
  <si>
    <t>H1022</t>
  </si>
  <si>
    <t>Support Services - Quality</t>
  </si>
  <si>
    <t>H1023</t>
  </si>
  <si>
    <t>Support Services - Systems</t>
  </si>
  <si>
    <t>H1030</t>
  </si>
  <si>
    <t>Support Services - Procurement</t>
  </si>
  <si>
    <t>H3001</t>
  </si>
  <si>
    <t>Auditors Fees</t>
  </si>
  <si>
    <t>H3002</t>
  </si>
  <si>
    <t>Bank Commission &amp; Interest</t>
  </si>
  <si>
    <t xml:space="preserve">1.1.2 Contingencies      </t>
  </si>
  <si>
    <t>Schools Specific Contingency</t>
  </si>
  <si>
    <t>E6561</t>
  </si>
  <si>
    <t>1.1.2Gross</t>
  </si>
  <si>
    <t>Other School Budgets</t>
  </si>
  <si>
    <t>E6515</t>
  </si>
  <si>
    <t>Project Activities General</t>
  </si>
  <si>
    <t>St Giles School</t>
  </si>
  <si>
    <t>B8017</t>
  </si>
  <si>
    <t>Officials Indemnity (Uncontrollables)</t>
  </si>
  <si>
    <t>H1024</t>
  </si>
  <si>
    <t>Support Services - Payroll</t>
  </si>
  <si>
    <t xml:space="preserve">1.2.2  SEN support services  </t>
  </si>
  <si>
    <t>Specialiast Support Teaching Services (SSTS)</t>
  </si>
  <si>
    <t>B1021</t>
  </si>
  <si>
    <t>Teachers (Contracts) - Salaries</t>
  </si>
  <si>
    <t>1.2.2Gross</t>
  </si>
  <si>
    <t>B1022</t>
  </si>
  <si>
    <t>Teachers (Contracts) - Employers NI</t>
  </si>
  <si>
    <t>B1024</t>
  </si>
  <si>
    <t>Teachers (Contracts) - Employers Teachers Supn</t>
  </si>
  <si>
    <t>B2041</t>
  </si>
  <si>
    <t>Teaching Assistants - Salaries/Wages</t>
  </si>
  <si>
    <t>B2042</t>
  </si>
  <si>
    <t>Teaching Assistants - Employers NI</t>
  </si>
  <si>
    <t>B2043</t>
  </si>
  <si>
    <t>Teaching Assistants - LG Supn</t>
  </si>
  <si>
    <t>B5011</t>
  </si>
  <si>
    <t>APT &amp; C Staff - Salaries/Wages</t>
  </si>
  <si>
    <t>B5012</t>
  </si>
  <si>
    <t>APT &amp; C Staff - Employers NI</t>
  </si>
  <si>
    <t>B5013</t>
  </si>
  <si>
    <t>APT &amp; C Staff - Employers LG Supn</t>
  </si>
  <si>
    <t>B5031</t>
  </si>
  <si>
    <t>Adviser/Psychologist - Salaries/Wages</t>
  </si>
  <si>
    <t>B5032</t>
  </si>
  <si>
    <t>Adviser/Psychologist - Employers NI</t>
  </si>
  <si>
    <t>B5034</t>
  </si>
  <si>
    <t>Adviser/Psychologist - Employers Teachers Supn</t>
  </si>
  <si>
    <t>B8011</t>
  </si>
  <si>
    <t>Training Expenses</t>
  </si>
  <si>
    <t>C3001</t>
  </si>
  <si>
    <t>Rent</t>
  </si>
  <si>
    <t>D4001</t>
  </si>
  <si>
    <t>Road and Rail - Fares/Passes</t>
  </si>
  <si>
    <t>D4003</t>
  </si>
  <si>
    <t>Car Allowances - Mileage</t>
  </si>
  <si>
    <t>E1010</t>
  </si>
  <si>
    <t>Learning Resources - Non ICT</t>
  </si>
  <si>
    <t>£100K is devolved to schools</t>
  </si>
  <si>
    <t>E1019</t>
  </si>
  <si>
    <t>School Allowance 2</t>
  </si>
  <si>
    <t>F1002</t>
  </si>
  <si>
    <t>Contracted Services</t>
  </si>
  <si>
    <t>H1015</t>
  </si>
  <si>
    <t>Support Services - Cash Office</t>
  </si>
  <si>
    <t>H1027</t>
  </si>
  <si>
    <t>Support Services - CODAS</t>
  </si>
  <si>
    <t>H1035</t>
  </si>
  <si>
    <t>Support Services - Business Support</t>
  </si>
  <si>
    <t>EIT Grant</t>
  </si>
  <si>
    <t>EIT Core</t>
  </si>
  <si>
    <t>E1002</t>
  </si>
  <si>
    <t>Office Furniture</t>
  </si>
  <si>
    <t>E4007</t>
  </si>
  <si>
    <t>Software - Purchase</t>
  </si>
  <si>
    <t>F5001</t>
  </si>
  <si>
    <t>Other Hired &amp; Contracted Services</t>
  </si>
  <si>
    <t xml:space="preserve">Devolved to schools </t>
  </si>
  <si>
    <t>Transfer to line 2.0.2 SEN administration, assessment and co-ordination</t>
  </si>
  <si>
    <t>(EIG funding)</t>
  </si>
  <si>
    <t>Transfer from 2.0.1 Ed Phys</t>
  </si>
  <si>
    <t>1.2.3  Support for inclusion</t>
  </si>
  <si>
    <t>Inclusion Schools Block</t>
  </si>
  <si>
    <t>1.2.3Primary</t>
  </si>
  <si>
    <t>Devolved to schools ? HB manages</t>
  </si>
  <si>
    <t>1.2.3Secondary</t>
  </si>
  <si>
    <t>Inclusion Behaviour support (Inc)</t>
  </si>
  <si>
    <t>Inclusion - Strategy managers (QSP)</t>
  </si>
  <si>
    <t>School Improvement - SIO's(QSP)</t>
  </si>
  <si>
    <t>Management - SI (QSP)</t>
  </si>
  <si>
    <t>Education Welfare</t>
  </si>
  <si>
    <t>Admissions management - GN</t>
  </si>
  <si>
    <t>Schools Forum - Finance support</t>
  </si>
  <si>
    <t>1.2.7  Interauthority recoupment</t>
  </si>
  <si>
    <t>Recoup/Ind Fee's Spec</t>
  </si>
  <si>
    <t>P2002</t>
  </si>
  <si>
    <t>OLA - Recoupment</t>
  </si>
  <si>
    <t>1.2.7Income</t>
  </si>
  <si>
    <t>1.3.2  Behaviour Support Services</t>
  </si>
  <si>
    <t>Access Service</t>
  </si>
  <si>
    <t>1.3.2Gross</t>
  </si>
  <si>
    <t>B8006</t>
  </si>
  <si>
    <t>Recruitment Advertising</t>
  </si>
  <si>
    <t>E1036</t>
  </si>
  <si>
    <t>Books &amp; Publications</t>
  </si>
  <si>
    <t>E2504</t>
  </si>
  <si>
    <t>General Stationery</t>
  </si>
  <si>
    <t>E4015</t>
  </si>
  <si>
    <t>Software Maintenance &amp; Support</t>
  </si>
  <si>
    <t>E4501</t>
  </si>
  <si>
    <t>Travel &amp; Subsistence</t>
  </si>
  <si>
    <t>E5005</t>
  </si>
  <si>
    <t>Subscriptions &amp; Registrations</t>
  </si>
  <si>
    <t>Inclusion Turnover Savings</t>
  </si>
  <si>
    <t>B7001</t>
  </si>
  <si>
    <t>Operational General - Agency</t>
  </si>
  <si>
    <t>STF Sen</t>
  </si>
  <si>
    <t>ADVISER/PSYCHOLOGIST - EMPLOYERS TEACHERS SUPN</t>
  </si>
  <si>
    <t>Citizenship</t>
  </si>
  <si>
    <t>Behaviour Support Team</t>
  </si>
  <si>
    <t>W8001</t>
  </si>
  <si>
    <t>Recharges Within General Fund C</t>
  </si>
  <si>
    <t>1.3.2Income</t>
  </si>
  <si>
    <t>W6016</t>
  </si>
  <si>
    <t>School Buy Back</t>
  </si>
  <si>
    <t>1.3.3  Education out of school</t>
  </si>
  <si>
    <t>Hospital And Medical</t>
  </si>
  <si>
    <t>1.3.3Secondary</t>
  </si>
  <si>
    <t>CAMHS Moorfield Enhancement</t>
  </si>
  <si>
    <t>Ronnie McKeith Nursery from 3.3.2</t>
  </si>
  <si>
    <t>1.4.1  Support to underperforming ethnic minority groups and bilingual learners</t>
  </si>
  <si>
    <t>EMA Central Support</t>
  </si>
  <si>
    <t>1.4.1Gross</t>
  </si>
  <si>
    <t>B1031</t>
  </si>
  <si>
    <t>Teachers Supply Claims - Salaries</t>
  </si>
  <si>
    <t>B1032</t>
  </si>
  <si>
    <t>Teachers Supply Claims - Employers NI</t>
  </si>
  <si>
    <t>B2081</t>
  </si>
  <si>
    <t>Teaching Assistants Officers - Salaries/Wages</t>
  </si>
  <si>
    <t>B5033</t>
  </si>
  <si>
    <t>Adviser/Psychologist - Employers LG Supn</t>
  </si>
  <si>
    <t>E1501</t>
  </si>
  <si>
    <t>Catering &amp; Refreshments</t>
  </si>
  <si>
    <t>W7001</t>
  </si>
  <si>
    <t>Costs Recovered</t>
  </si>
  <si>
    <t>Travellers Children</t>
  </si>
  <si>
    <t>D2002</t>
  </si>
  <si>
    <t>Home To School Transport</t>
  </si>
  <si>
    <t>£76K Bemrose Language Centre &amp; £140K devolved to Schools New Arrivals</t>
  </si>
  <si>
    <t>Travellers Service Language Centres</t>
  </si>
  <si>
    <t>Reallocated to 2.0.10 school imrovement</t>
  </si>
  <si>
    <t>1.5.2  Free school meals eligibility</t>
  </si>
  <si>
    <t>Budget transferred to Derby Direct</t>
  </si>
  <si>
    <t>1.6.1  Insurance</t>
  </si>
  <si>
    <t>General Nursery Costs</t>
  </si>
  <si>
    <t>C8001</t>
  </si>
  <si>
    <t>Property Related Insurance</t>
  </si>
  <si>
    <t>1.6.1Nursery</t>
  </si>
  <si>
    <t>H1018</t>
  </si>
  <si>
    <t>Insurance Overhead Costs</t>
  </si>
  <si>
    <t>Primary Non ISB</t>
  </si>
  <si>
    <t>1.6.1Primary</t>
  </si>
  <si>
    <t>Pru Ks 1</t>
  </si>
  <si>
    <t>Secondary Non ISB</t>
  </si>
  <si>
    <t>1.6.1Secondary</t>
  </si>
  <si>
    <t>Cross Phase Pru</t>
  </si>
  <si>
    <t>Junction 16 Project</t>
  </si>
  <si>
    <t>Building Schools For The Future</t>
  </si>
  <si>
    <t>Special Non ISB</t>
  </si>
  <si>
    <t>1.6.1Special</t>
  </si>
  <si>
    <t>1.6.2  Museum and Library Services</t>
  </si>
  <si>
    <t>Budget held in Neighbourhoods</t>
  </si>
  <si>
    <t xml:space="preserve">1.6.4  Licences/subscriptions </t>
  </si>
  <si>
    <t>Subscriptions Schools Block</t>
  </si>
  <si>
    <t>1.6.4Gross</t>
  </si>
  <si>
    <t>1.6.7  Staff costs  supply cover (including long term sickness)</t>
  </si>
  <si>
    <t>Central Staff Cover</t>
  </si>
  <si>
    <t>1.6.7Primary</t>
  </si>
  <si>
    <t>B1034</t>
  </si>
  <si>
    <t>Teachers Supply Claims - Salaries Teachers Supn</t>
  </si>
  <si>
    <t>B2021</t>
  </si>
  <si>
    <t>Midday Supervisors - Salaries/Wages</t>
  </si>
  <si>
    <t>E3516</t>
  </si>
  <si>
    <t>Trade Union Duties</t>
  </si>
  <si>
    <t>Special Staff Costs</t>
  </si>
  <si>
    <t>1.6.7Secondary</t>
  </si>
  <si>
    <t>1.6.7Special</t>
  </si>
  <si>
    <t>Grand total</t>
  </si>
  <si>
    <t>Remove</t>
  </si>
  <si>
    <t>£24,600 &amp; £13,500 is commissioning 3.3.2, £10K is 2.0..2 SEN</t>
  </si>
  <si>
    <t>adjusted  down so balances</t>
  </si>
  <si>
    <t>This does not belong in Schools area - relates to public health</t>
  </si>
  <si>
    <t>Adjustment add back L Bates relates to public health not schools block and income/budget should be met from PCT/CAMHS</t>
  </si>
  <si>
    <t>Remove part of 3011101 AEN relating to commissioning &amp; SEN duties (Half Paula, all James) reduced budget by £1,500 to balance with L Bates adjustment</t>
  </si>
  <si>
    <t>Early Years</t>
  </si>
  <si>
    <t>Special</t>
  </si>
  <si>
    <t>2012/13 Allocations for Primary &amp; Secondary</t>
  </si>
  <si>
    <t>Special High Needs Block</t>
  </si>
  <si>
    <t>Plus S251 Exception 1 delegated</t>
  </si>
  <si>
    <t>Specials</t>
  </si>
  <si>
    <t>Eary Years</t>
  </si>
  <si>
    <t>Income Netted off  as give net out  (and income target is not real, not made any in 11/12)</t>
  </si>
  <si>
    <t>Early Years Block Income adjustment</t>
  </si>
  <si>
    <t>Special High Needs Block income adjustment</t>
  </si>
  <si>
    <t>Primary income adjustment</t>
  </si>
  <si>
    <t>Secondary income adjustment</t>
  </si>
  <si>
    <t>Gross after adjustments</t>
  </si>
  <si>
    <t>Reconciliation</t>
  </si>
  <si>
    <t>Primary &amp; Secondary</t>
  </si>
  <si>
    <t>3011109 /   3011209 /   3011210</t>
  </si>
  <si>
    <t>Derby Direct Budget</t>
  </si>
  <si>
    <t>H1018 &amp; C8001 in Schools block on 3005101/ 3002101 / 3014103 / 3003101 / 3014104 / 3014109 / 3014112 / 3024101 / 3045801 / 3004101</t>
  </si>
  <si>
    <t>Neighbourhoods budget</t>
  </si>
  <si>
    <t xml:space="preserve">3053103 / </t>
  </si>
  <si>
    <t>AWPU for Notional SEN</t>
  </si>
  <si>
    <t>EAL for Notional SEN</t>
  </si>
  <si>
    <t>Dep for Notional SEN</t>
  </si>
  <si>
    <t>100% LAC</t>
  </si>
  <si>
    <t>100% Mobility</t>
  </si>
  <si>
    <t>100% LCHI SEN</t>
  </si>
  <si>
    <t>Total Notional SEN</t>
  </si>
  <si>
    <t xml:space="preserve">change </t>
  </si>
  <si>
    <t>Original Notional SEN Prim &amp; Sec</t>
  </si>
  <si>
    <t>manually added as Vlookup doesn't add both</t>
  </si>
  <si>
    <t>(Landau £72,103)</t>
  </si>
  <si>
    <t>had ERS N SEN</t>
  </si>
  <si>
    <t>gained</t>
  </si>
  <si>
    <t>loser</t>
  </si>
  <si>
    <t>Equivalent Notional SEN pupils £9K</t>
  </si>
  <si>
    <t>Wyndham Primary Academy</t>
  </si>
  <si>
    <t>Landau Forte Academy Moorhead</t>
  </si>
  <si>
    <t>St John Fisher Catholic Voluntary Academy</t>
  </si>
  <si>
    <t>Secondary pupils included in the October School Census who did not start in August or September (Last 3 academic years)</t>
  </si>
  <si>
    <t>Primary pupils included in the October School Census who did not start in August or September (Last 3 academic years)</t>
  </si>
  <si>
    <t>St George's Catholic Voluntary Academy</t>
  </si>
  <si>
    <t>Allestree Woodlands School</t>
  </si>
  <si>
    <t>Saint Benedict Catholic Voluntary Academy</t>
  </si>
  <si>
    <t>NOR Oct 2012</t>
  </si>
  <si>
    <t>Primary Oct 2012</t>
  </si>
  <si>
    <t>KS3 Oct 2012</t>
  </si>
  <si>
    <t>KS4 Oct 2012</t>
  </si>
  <si>
    <t>Secondary Pupils</t>
  </si>
  <si>
    <t>Oct 2011 Primary Pupils</t>
  </si>
  <si>
    <t>Oct 2011 Secondary Pupils</t>
  </si>
  <si>
    <t>Total</t>
  </si>
  <si>
    <t>High Needs</t>
  </si>
  <si>
    <t>EFA</t>
  </si>
  <si>
    <t>ERS</t>
  </si>
  <si>
    <t>Vulnerable Children</t>
  </si>
  <si>
    <t>Inclusion</t>
  </si>
  <si>
    <t>Rates</t>
  </si>
  <si>
    <t xml:space="preserve">School </t>
  </si>
  <si>
    <t>DCSF</t>
  </si>
  <si>
    <t>Type</t>
  </si>
  <si>
    <t>KEY:</t>
  </si>
  <si>
    <t>Formulas to be linked in YELLOW</t>
  </si>
  <si>
    <t>Formulas Checked and OK in GREEN</t>
  </si>
  <si>
    <t>CHILDREN OUT OF</t>
  </si>
  <si>
    <t xml:space="preserve">       3 YEAR AVERAGE</t>
  </si>
  <si>
    <t>VULNERABLE</t>
  </si>
  <si>
    <t>PUBLIC</t>
  </si>
  <si>
    <t>PFI</t>
  </si>
  <si>
    <t xml:space="preserve">PFI </t>
  </si>
  <si>
    <t>ADMISSIONS</t>
  </si>
  <si>
    <t>LSC</t>
  </si>
  <si>
    <t>SMALL</t>
  </si>
  <si>
    <t>TA HOURS</t>
  </si>
  <si>
    <t>ERS PLACES</t>
  </si>
  <si>
    <t>EARLY YEARS</t>
  </si>
  <si>
    <t>For Comparison to 13/14 new Formula</t>
  </si>
  <si>
    <t>Cells to check as manually typed or internal links in BLUE</t>
  </si>
  <si>
    <t>NFP</t>
  </si>
  <si>
    <t>TOTAL</t>
  </si>
  <si>
    <t>FULL TIME</t>
  </si>
  <si>
    <t>ERS TA</t>
  </si>
  <si>
    <t>INSURANCE</t>
  </si>
  <si>
    <t>PUPIL</t>
  </si>
  <si>
    <t>FREE</t>
  </si>
  <si>
    <t xml:space="preserve">FREE </t>
  </si>
  <si>
    <t>PAID</t>
  </si>
  <si>
    <t>KS1 CLASS</t>
  </si>
  <si>
    <t>CATCHMENT AREA</t>
  </si>
  <si>
    <t>MOBILITY</t>
  </si>
  <si>
    <t>SOC DEP</t>
  </si>
  <si>
    <t>UNDERACHIEVING</t>
  </si>
  <si>
    <t>IMD BUDGET</t>
  </si>
  <si>
    <t xml:space="preserve">CHILDREN </t>
  </si>
  <si>
    <t>SEC'DRY</t>
  </si>
  <si>
    <t>ASSESSED</t>
  </si>
  <si>
    <t>HIGHWAY</t>
  </si>
  <si>
    <t>PRIMARY</t>
  </si>
  <si>
    <t>SECONDARY</t>
  </si>
  <si>
    <t xml:space="preserve"> </t>
  </si>
  <si>
    <t>FLOOR</t>
  </si>
  <si>
    <t>BLOCK</t>
  </si>
  <si>
    <t>CATERING</t>
  </si>
  <si>
    <t>BSF</t>
  </si>
  <si>
    <t>UTILITY</t>
  </si>
  <si>
    <t>for Voluntary Aided</t>
  </si>
  <si>
    <t>PROTECTED</t>
  </si>
  <si>
    <t>TPG</t>
  </si>
  <si>
    <t>SCHOOL</t>
  </si>
  <si>
    <t>POST-16</t>
  </si>
  <si>
    <t>AST PROTECTION</t>
  </si>
  <si>
    <t>MINIMUM</t>
  </si>
  <si>
    <t>BUD ADJ</t>
  </si>
  <si>
    <t>PUPILS</t>
  </si>
  <si>
    <t>New Column for Early Years Single Formula and Grants</t>
  </si>
  <si>
    <t>6TH</t>
  </si>
  <si>
    <t xml:space="preserve">AWPN </t>
  </si>
  <si>
    <t>AWPN</t>
  </si>
  <si>
    <t>KEY ST 4</t>
  </si>
  <si>
    <t>KEY ST 3</t>
  </si>
  <si>
    <t>KEY ST 2</t>
  </si>
  <si>
    <t>KEY ST 1</t>
  </si>
  <si>
    <t>FS2</t>
  </si>
  <si>
    <t>FS1</t>
  </si>
  <si>
    <t>FUNDING</t>
  </si>
  <si>
    <t>TEACHER</t>
  </si>
  <si>
    <t>RESOURCES</t>
  </si>
  <si>
    <t>HOURS</t>
  </si>
  <si>
    <t>PNUM</t>
  </si>
  <si>
    <t>NUMBER</t>
  </si>
  <si>
    <t>MEALS</t>
  </si>
  <si>
    <t>SIZE</t>
  </si>
  <si>
    <t>WEIGHTED</t>
  </si>
  <si>
    <t>EAL/SEN</t>
  </si>
  <si>
    <t>BUDGET</t>
  </si>
  <si>
    <t>NO.</t>
  </si>
  <si>
    <t>AUTH FR</t>
  </si>
  <si>
    <t>NOS</t>
  </si>
  <si>
    <t>WEIGHTING</t>
  </si>
  <si>
    <t>(80% of growth)</t>
  </si>
  <si>
    <t>NOS.</t>
  </si>
  <si>
    <t>NSSN</t>
  </si>
  <si>
    <t>NSSN (KS2)</t>
  </si>
  <si>
    <t>INCLUSION</t>
  </si>
  <si>
    <t>DENSITY</t>
  </si>
  <si>
    <t>NEED</t>
  </si>
  <si>
    <t xml:space="preserve">S SITE </t>
  </si>
  <si>
    <t>S SITE</t>
  </si>
  <si>
    <t>AREA</t>
  </si>
  <si>
    <t>2012-13</t>
  </si>
  <si>
    <t>REINSTATEMENT</t>
  </si>
  <si>
    <t>PREM</t>
  </si>
  <si>
    <t>BASE</t>
  </si>
  <si>
    <t>TRANSPORT</t>
  </si>
  <si>
    <t>EXPORTING</t>
  </si>
  <si>
    <t>FACTOR</t>
  </si>
  <si>
    <t>and foundation</t>
  </si>
  <si>
    <t>SALARIES</t>
  </si>
  <si>
    <t>PROT'N</t>
  </si>
  <si>
    <t>NON-AWPU</t>
  </si>
  <si>
    <t>SINGLE FORMULA</t>
  </si>
  <si>
    <t>FORMULA</t>
  </si>
  <si>
    <t>NUMBERS</t>
  </si>
  <si>
    <t xml:space="preserve">FORMULA </t>
  </si>
  <si>
    <t>Checked for accuracy by JC</t>
  </si>
  <si>
    <t>COUNT</t>
  </si>
  <si>
    <t>ALLOCATION</t>
  </si>
  <si>
    <t>PUPIL NOS</t>
  </si>
  <si>
    <t>ON ROLL</t>
  </si>
  <si>
    <t>FR MEALS</t>
  </si>
  <si>
    <t>NUM</t>
  </si>
  <si>
    <t>% LEVEL 3</t>
  </si>
  <si>
    <t>% &lt; LEVEL 3</t>
  </si>
  <si>
    <t>WTD PUPILS</t>
  </si>
  <si>
    <t xml:space="preserve">BUDGET </t>
  </si>
  <si>
    <t>ASS NEED</t>
  </si>
  <si>
    <t>INDEX</t>
  </si>
  <si>
    <t>1 - 3</t>
  </si>
  <si>
    <t>3 CLASSES</t>
  </si>
  <si>
    <t>MIDDAY</t>
  </si>
  <si>
    <t>&gt; 500M</t>
  </si>
  <si>
    <t>OTHER</t>
  </si>
  <si>
    <t>RATES</t>
  </si>
  <si>
    <t>VALUE</t>
  </si>
  <si>
    <t>ALLOWANCE</t>
  </si>
  <si>
    <t xml:space="preserve">who do own </t>
  </si>
  <si>
    <t>DEDUCTION</t>
  </si>
  <si>
    <t>GUARANTEE</t>
  </si>
  <si>
    <t>EXC RATES</t>
  </si>
  <si>
    <t>FOR</t>
  </si>
  <si>
    <t>EXC</t>
  </si>
  <si>
    <t>2012/13</t>
  </si>
  <si>
    <t>New Formula Funding</t>
  </si>
  <si>
    <t>Academies in Red Text</t>
  </si>
  <si>
    <t>YPLA FUNDED</t>
  </si>
  <si>
    <t>£</t>
  </si>
  <si>
    <t>Actual</t>
  </si>
  <si>
    <t>Estimate</t>
  </si>
  <si>
    <t>EAL</t>
  </si>
  <si>
    <t>admissions</t>
  </si>
  <si>
    <t>AEN</t>
  </si>
  <si>
    <t>POST 16 DED</t>
  </si>
  <si>
    <t>Base</t>
  </si>
  <si>
    <t>Eyears</t>
  </si>
  <si>
    <t>High needs</t>
  </si>
  <si>
    <t>Outsude Formula</t>
  </si>
  <si>
    <t>Including Rates</t>
  </si>
  <si>
    <t>Obsolete Factor</t>
  </si>
  <si>
    <t>Budget</t>
  </si>
  <si>
    <t>base budget</t>
  </si>
  <si>
    <t>retro</t>
  </si>
  <si>
    <t>mfg</t>
  </si>
  <si>
    <t>TA Hours</t>
  </si>
  <si>
    <t>Out of catchment TA hrs</t>
  </si>
  <si>
    <t>TA retro</t>
  </si>
  <si>
    <t>ERS Retro</t>
  </si>
  <si>
    <t>Sixth Form</t>
  </si>
  <si>
    <t>KS1 class size</t>
  </si>
  <si>
    <t>E100101</t>
  </si>
  <si>
    <t>Nursery</t>
  </si>
  <si>
    <t>E100201</t>
  </si>
  <si>
    <t>E100301</t>
  </si>
  <si>
    <t>E100401</t>
  </si>
  <si>
    <t>E100501</t>
  </si>
  <si>
    <t>E100601</t>
  </si>
  <si>
    <t>E100701</t>
  </si>
  <si>
    <t>E100801</t>
  </si>
  <si>
    <t>E200101</t>
  </si>
  <si>
    <t>E200201</t>
  </si>
  <si>
    <t>E200301</t>
  </si>
  <si>
    <t>E200401</t>
  </si>
  <si>
    <t>E200501</t>
  </si>
  <si>
    <t>E200601</t>
  </si>
  <si>
    <t>E200701</t>
  </si>
  <si>
    <t>E200801</t>
  </si>
  <si>
    <t>E200901</t>
  </si>
  <si>
    <t>E201001</t>
  </si>
  <si>
    <t>E201201</t>
  </si>
  <si>
    <t>E201301</t>
  </si>
  <si>
    <t>E201401</t>
  </si>
  <si>
    <t>E201501</t>
  </si>
  <si>
    <t>E201601</t>
  </si>
  <si>
    <t>E201701</t>
  </si>
  <si>
    <t>E201801</t>
  </si>
  <si>
    <t>E201901</t>
  </si>
  <si>
    <t>E202001</t>
  </si>
  <si>
    <t>E202101</t>
  </si>
  <si>
    <t>E202201</t>
  </si>
  <si>
    <t>E202301</t>
  </si>
  <si>
    <t>E202401</t>
  </si>
  <si>
    <t>E202501</t>
  </si>
  <si>
    <t>E202601</t>
  </si>
  <si>
    <t>E202801</t>
  </si>
  <si>
    <t>E202901</t>
  </si>
  <si>
    <t>E203001</t>
  </si>
  <si>
    <t>E203101</t>
  </si>
  <si>
    <t>E203201</t>
  </si>
  <si>
    <t>E203301</t>
  </si>
  <si>
    <t>E203401</t>
  </si>
  <si>
    <t>E203501</t>
  </si>
  <si>
    <t>E203601</t>
  </si>
  <si>
    <t>E203701</t>
  </si>
  <si>
    <t>E203801</t>
  </si>
  <si>
    <t>E203901</t>
  </si>
  <si>
    <t>E204001</t>
  </si>
  <si>
    <t>E204101</t>
  </si>
  <si>
    <t>E204201</t>
  </si>
  <si>
    <t>E204701</t>
  </si>
  <si>
    <t>E204801</t>
  </si>
  <si>
    <t>E204901</t>
  </si>
  <si>
    <t>E205001</t>
  </si>
  <si>
    <t>E205101</t>
  </si>
  <si>
    <t>E205201</t>
  </si>
  <si>
    <t>E205301</t>
  </si>
  <si>
    <t>E205401</t>
  </si>
  <si>
    <t>E205501</t>
  </si>
  <si>
    <t>E205601</t>
  </si>
  <si>
    <t>E205801</t>
  </si>
  <si>
    <t>E205901</t>
  </si>
  <si>
    <t>E206001</t>
  </si>
  <si>
    <t>E206101</t>
  </si>
  <si>
    <t>E206201</t>
  </si>
  <si>
    <t>E206301</t>
  </si>
  <si>
    <t>E206401</t>
  </si>
  <si>
    <t>E206501</t>
  </si>
  <si>
    <t>E206601</t>
  </si>
  <si>
    <t>E206701</t>
  </si>
  <si>
    <t>E206801</t>
  </si>
  <si>
    <t>E206901</t>
  </si>
  <si>
    <t>E207001</t>
  </si>
  <si>
    <t>E207101</t>
  </si>
  <si>
    <t>E207201</t>
  </si>
  <si>
    <t>E207301</t>
  </si>
  <si>
    <t>E207401</t>
  </si>
  <si>
    <t>E207501</t>
  </si>
  <si>
    <t>E207601</t>
  </si>
  <si>
    <t>E204501</t>
  </si>
  <si>
    <t>E207801</t>
  </si>
  <si>
    <t>E207901</t>
  </si>
  <si>
    <t>E300101</t>
  </si>
  <si>
    <t>E300201</t>
  </si>
  <si>
    <t>E300301</t>
  </si>
  <si>
    <t>E300401</t>
  </si>
  <si>
    <t>Landau Forte</t>
  </si>
  <si>
    <t>LF</t>
  </si>
  <si>
    <t>E300501</t>
  </si>
  <si>
    <t>E300601</t>
  </si>
  <si>
    <t>E300701</t>
  </si>
  <si>
    <t>E300801</t>
  </si>
  <si>
    <t>E300901</t>
  </si>
  <si>
    <t>E301001</t>
  </si>
  <si>
    <t>E301101</t>
  </si>
  <si>
    <t>E301201</t>
  </si>
  <si>
    <t>E301301</t>
  </si>
  <si>
    <t>Nursery Total</t>
  </si>
  <si>
    <t>Primary Total</t>
  </si>
  <si>
    <t>Secondary Total</t>
  </si>
  <si>
    <t>Amended to reflect new IMD funding</t>
  </si>
  <si>
    <t>Early Years Schools Total</t>
  </si>
  <si>
    <t>Grand Total</t>
  </si>
  <si>
    <t>For comparison (excludes YPLA)</t>
  </si>
  <si>
    <t>Formula Budget Allocations 2012-13</t>
  </si>
  <si>
    <t>Nursery from Early Years Formula</t>
  </si>
  <si>
    <t>2012-13 Total Budget</t>
  </si>
  <si>
    <t>2012-13 Budget Exc rates</t>
  </si>
  <si>
    <t>Nursery Schools</t>
  </si>
  <si>
    <t>Primary Schools</t>
  </si>
  <si>
    <t>Secondary Schools</t>
  </si>
  <si>
    <t>Special Schools</t>
  </si>
  <si>
    <t>PVI Nurseries</t>
  </si>
  <si>
    <t>Total Formula Budget(excludes standard grant)</t>
  </si>
  <si>
    <t>Total Available</t>
  </si>
  <si>
    <t>Alison's Figure before adjustments</t>
  </si>
  <si>
    <t>Plus</t>
  </si>
  <si>
    <t>YPLA</t>
  </si>
  <si>
    <t>Total YPLA sixth form including SEN and TPG</t>
  </si>
  <si>
    <t>SEN YPLA</t>
  </si>
  <si>
    <t>Daljit recoupment budget 3023204 N5005 £186,466 &amp; N5012 £53,468</t>
  </si>
  <si>
    <t>To DSG Contingency for agreed shortfall on Nursery provision</t>
  </si>
  <si>
    <t>Payments to Newton's Walk / PRU not contained in Kingsmead allocation</t>
  </si>
  <si>
    <t>Centrally retained Diploma funding</t>
  </si>
  <si>
    <t xml:space="preserve">Language Hub Funding </t>
  </si>
  <si>
    <t>Derby Moor</t>
  </si>
  <si>
    <t>Increase in pupil numbers expected September 2012 - AP requested contingency</t>
  </si>
  <si>
    <t>Net distributed to schools via Formula</t>
  </si>
  <si>
    <t>Unallocated Balance</t>
  </si>
  <si>
    <t>Notional Schools Block based on Oct 2012 count</t>
  </si>
  <si>
    <t>Notional Early Years Block based on Jan 202 census (will be adjusted to be 5/12ths Jan 2013 &amp; 7/12th Jan 2014 numbers)</t>
  </si>
  <si>
    <t>Notional High Needs Block based on 2012-13 spend, possibly uprates for population projections</t>
  </si>
  <si>
    <t>All</t>
  </si>
  <si>
    <t>EY</t>
  </si>
  <si>
    <t>HN</t>
  </si>
  <si>
    <t>Graduate</t>
  </si>
  <si>
    <t>plus growth</t>
  </si>
  <si>
    <t>AWPU Primary</t>
  </si>
  <si>
    <t>AWPU KS3</t>
  </si>
  <si>
    <t>AWPU KS4</t>
  </si>
  <si>
    <t>IDACI P1</t>
  </si>
  <si>
    <t>IDACI P2</t>
  </si>
  <si>
    <t>IDACI P3</t>
  </si>
  <si>
    <t>IDACI P4</t>
  </si>
  <si>
    <t>IDACI P5</t>
  </si>
  <si>
    <t>IDACI P6</t>
  </si>
  <si>
    <t>IDACI S1</t>
  </si>
  <si>
    <t>IDACI S2</t>
  </si>
  <si>
    <t>IDACI S3</t>
  </si>
  <si>
    <t>IDACI S4</t>
  </si>
  <si>
    <t>IDACI S5</t>
  </si>
  <si>
    <t>IDACI S6</t>
  </si>
  <si>
    <t>rounded</t>
  </si>
  <si>
    <t>Rounded</t>
  </si>
  <si>
    <t>Pupil led</t>
  </si>
  <si>
    <t>Pupil Led</t>
  </si>
  <si>
    <t>AWPU Including Delegation Primary</t>
  </si>
  <si>
    <t>AWPU Including Delegation KS3</t>
  </si>
  <si>
    <t>AWPU Including Delegation KS4</t>
  </si>
  <si>
    <t>Delegation Primary</t>
  </si>
  <si>
    <t>Delegation KS3</t>
  </si>
  <si>
    <t>Delegation KS4</t>
  </si>
  <si>
    <t xml:space="preserve">Academy </t>
  </si>
  <si>
    <t>High Needs AWPU for HN pupils</t>
  </si>
  <si>
    <t>Schools</t>
  </si>
  <si>
    <t>Excluding Academies</t>
  </si>
  <si>
    <t>Academies</t>
  </si>
  <si>
    <t>Pupil No's</t>
  </si>
  <si>
    <t>Secondary KS3</t>
  </si>
  <si>
    <t>Secondary KS4</t>
  </si>
  <si>
    <t>De-delegated Budget for maintained</t>
  </si>
  <si>
    <t>Loss of Academy budget</t>
  </si>
  <si>
    <t>AWPU</t>
  </si>
  <si>
    <t>Delegation</t>
  </si>
  <si>
    <t>2011/12</t>
  </si>
  <si>
    <t>Spend</t>
  </si>
  <si>
    <t>N &amp; Prim</t>
  </si>
  <si>
    <t>sec</t>
  </si>
  <si>
    <t>spec</t>
  </si>
  <si>
    <t>% staff cost cover</t>
  </si>
  <si>
    <t>3011101 is n/a /3011203/3011204/3011206/3014107</t>
  </si>
  <si>
    <t>3056101 N &amp; P / 3056102 Sec / 3056103 Spec</t>
  </si>
  <si>
    <t xml:space="preserve">Secondary EAL 3 </t>
  </si>
  <si>
    <t>Per DSG Settlement</t>
  </si>
  <si>
    <t>in factor</t>
  </si>
  <si>
    <t>2013/14 Rates</t>
  </si>
  <si>
    <t>Licences &amp; Subscriptions £</t>
  </si>
  <si>
    <t>6 are post 16 so don't need to adjust those, 1 was double funded</t>
  </si>
  <si>
    <t>CAP</t>
  </si>
  <si>
    <t>2013/14 Budget excluding Delegation</t>
  </si>
  <si>
    <t>2012/13 Applicable budget</t>
  </si>
  <si>
    <t>£ budget per NOR</t>
  </si>
  <si>
    <t>Variance per NOR</t>
  </si>
  <si>
    <t>Variance per £ Budget</t>
  </si>
  <si>
    <t xml:space="preserve">Remove </t>
  </si>
  <si>
    <t>High Needs pupils</t>
  </si>
  <si>
    <t>change as a % of old budget</t>
  </si>
  <si>
    <t>check</t>
  </si>
  <si>
    <t>Oct 2011 Hign Needs pupils</t>
  </si>
  <si>
    <t>Oct 2011 NOR</t>
  </si>
  <si>
    <t>merged school</t>
  </si>
  <si>
    <t>to check methodology - in progress</t>
  </si>
  <si>
    <t>2012-13 AWPU</t>
  </si>
  <si>
    <t>2012-13 TA Hours allocation difference</t>
  </si>
  <si>
    <t>Gross NOR Oct 2011</t>
  </si>
  <si>
    <t>Net NOR Oct 2012</t>
  </si>
  <si>
    <t>adjustd for Cpark merger</t>
  </si>
  <si>
    <t>change</t>
  </si>
  <si>
    <t>Net Nor Oct 12</t>
  </si>
  <si>
    <t>Excluding Academies by phase</t>
  </si>
  <si>
    <t>MFG +CAP</t>
  </si>
  <si>
    <t>Notional SEN 12/13</t>
  </si>
  <si>
    <t>Notional SEN equivalent pupils 12/13 £9K</t>
  </si>
  <si>
    <t>possibly £1.196 per pupil awaiting Alison - confirmed</t>
  </si>
  <si>
    <t>Total Budget Licences</t>
  </si>
  <si>
    <t>2013/14</t>
  </si>
  <si>
    <t>Reduction</t>
  </si>
  <si>
    <t>non buyback of Sec B&amp;A</t>
  </si>
  <si>
    <t>Schools Block Formula Budget 2013/14</t>
  </si>
  <si>
    <t>Grampian Primary Academy</t>
  </si>
  <si>
    <r>
      <t>De-delegation</t>
    </r>
    <r>
      <rPr>
        <sz val="10"/>
        <rFont val="Arial"/>
        <family val="2"/>
      </rPr>
      <t xml:space="preserve"> of Schools Block LACSEG (as agreed at Schools Forum)</t>
    </r>
  </si>
  <si>
    <r>
      <t>Amount per pupil</t>
    </r>
    <r>
      <rPr>
        <sz val="10"/>
        <rFont val="Arial"/>
        <family val="2"/>
      </rPr>
      <t xml:space="preserve"> including Delegation for Schools Block LACSEG (£)</t>
    </r>
  </si>
  <si>
    <t>De-Delegation</t>
  </si>
  <si>
    <t>Academy</t>
  </si>
  <si>
    <t>Net AWPU</t>
  </si>
  <si>
    <t>Net AWPU after de-delegation</t>
  </si>
  <si>
    <t>De-Delegation rate Secondaries</t>
  </si>
  <si>
    <t>De-Delegation rate Primaries</t>
  </si>
  <si>
    <t>Reason</t>
  </si>
  <si>
    <t>Budget after De-delegation and excluding Rates</t>
  </si>
  <si>
    <t>Budget after De-delegation including Rates</t>
  </si>
  <si>
    <t>Budget includign delegation, excluding Rates</t>
  </si>
  <si>
    <t>KS1 Class Factor</t>
  </si>
  <si>
    <t>TA Hours Out of Catchment</t>
  </si>
  <si>
    <t>Retrospective TA Hours</t>
  </si>
  <si>
    <t>Retrospective ERS</t>
  </si>
  <si>
    <t>Key Stage 1/2 PRU</t>
  </si>
  <si>
    <t>PRU Funding</t>
  </si>
  <si>
    <t>KS 3/4 PRU (Kingsmead)</t>
  </si>
  <si>
    <t>Kingsmead</t>
  </si>
  <si>
    <t>De-Delegated Budget</t>
  </si>
  <si>
    <t>2012/13 Budget</t>
  </si>
  <si>
    <t>2012/13 Pupil Numbers</t>
  </si>
  <si>
    <t>PVIs</t>
  </si>
  <si>
    <t>Variance Increase /(Decrease) in funding</t>
  </si>
  <si>
    <t>2 Year Olds</t>
  </si>
  <si>
    <t>2013/14 Pupil Numbers</t>
  </si>
  <si>
    <t>Pupil Number Variance Increase/(Decrease)</t>
  </si>
  <si>
    <t>Chaddesden Park Primary</t>
  </si>
  <si>
    <t>6th Form (Indicative only)</t>
  </si>
  <si>
    <t>10) PFI to be paid back to the LA</t>
  </si>
  <si>
    <t>Base amount for each school</t>
  </si>
  <si>
    <t>Minimum Funding Guarantee (-1.5%)</t>
  </si>
  <si>
    <t>Amount of PFI funding</t>
  </si>
  <si>
    <t>Amount of rates funding</t>
  </si>
  <si>
    <t>Amount of split site funding</t>
  </si>
  <si>
    <t>Amount of lump sum</t>
  </si>
  <si>
    <t>Amount per pupil</t>
  </si>
  <si>
    <t>Primary amount per pupil</t>
  </si>
  <si>
    <t>Secondary amount per pupil</t>
  </si>
  <si>
    <t>Retrospective ERS Places</t>
  </si>
  <si>
    <t>High Needs Formula Budget 2013/14</t>
  </si>
  <si>
    <t>TA Hours funding (£)</t>
  </si>
  <si>
    <t>Retrospective TA Hours funding 2012/13 (£)</t>
  </si>
  <si>
    <t>Retrospective ERS funding 2012/13 (£)</t>
  </si>
  <si>
    <t>TA Hours out of Catchment</t>
  </si>
  <si>
    <t>Indicative Sixth Form</t>
  </si>
  <si>
    <t>Early Years Nursery Funding</t>
  </si>
  <si>
    <t>See Separate breakdown sheet</t>
  </si>
  <si>
    <t>CLICK ON THE ARROW BUTTON TO SELECT YOUR SCHOOL FROM THE LIST</t>
  </si>
  <si>
    <t>Setting</t>
  </si>
  <si>
    <t>Cost Centre or Post Code</t>
  </si>
  <si>
    <t>DfE No. or Ofsted ID</t>
  </si>
  <si>
    <t>Ace Nursery</t>
  </si>
  <si>
    <t>DE23 8DH</t>
  </si>
  <si>
    <t>D</t>
  </si>
  <si>
    <t>M</t>
  </si>
  <si>
    <t>An-Noor Nursery</t>
  </si>
  <si>
    <t>EY362920</t>
  </si>
  <si>
    <t>S</t>
  </si>
  <si>
    <t>Becket Sure Start Children's Centre</t>
  </si>
  <si>
    <t>DE22 3WR</t>
  </si>
  <si>
    <t>EY380753</t>
  </si>
  <si>
    <t>Bizzy Kidz</t>
  </si>
  <si>
    <t>EY450983</t>
  </si>
  <si>
    <t>Boulton Lane Park Pre-School Playgroup</t>
  </si>
  <si>
    <t>DE24 0BD</t>
  </si>
  <si>
    <t>P</t>
  </si>
  <si>
    <t>Bramble Brook Pre-School  Playgroup</t>
  </si>
  <si>
    <t>DE3 9HD</t>
  </si>
  <si>
    <t>EY282068</t>
  </si>
  <si>
    <t>Busy Bees Pre-School</t>
  </si>
  <si>
    <t>DE22 2HE</t>
  </si>
  <si>
    <t>Busy Bees-Derby, Heatherton</t>
  </si>
  <si>
    <t>DE23 3TZ</t>
  </si>
  <si>
    <t>Carlton Private Day Nursery</t>
  </si>
  <si>
    <t>DE22 1GQ</t>
  </si>
  <si>
    <t>Cherry Tree Primary School</t>
  </si>
  <si>
    <t>Childcare @ St James Centre</t>
  </si>
  <si>
    <t>EY396374</t>
  </si>
  <si>
    <t>Chuckles Pre-School Playgroup</t>
  </si>
  <si>
    <t>DE24 0RU</t>
  </si>
  <si>
    <t>Derby City Childminding Network - Alison Whiteman</t>
  </si>
  <si>
    <t>EY260966</t>
  </si>
  <si>
    <t>Derby City Childminding Network - Amanda Reeves</t>
  </si>
  <si>
    <t>Derby City Childminding Network - Angela Jane Hatton</t>
  </si>
  <si>
    <t>Derby City Childminding Network - Christine Julie Heathcote</t>
  </si>
  <si>
    <t>Derby City Childminding Network - Debra Kydd</t>
  </si>
  <si>
    <t>EY336463</t>
  </si>
  <si>
    <t>Derby City Childminding Network - Helen Marie Brennan</t>
  </si>
  <si>
    <t>Derby City Childminding Network - Joanne Margaret Shakespeare</t>
  </si>
  <si>
    <t>EY369088</t>
  </si>
  <si>
    <t>Derby City Childminding Network - Kay Walker</t>
  </si>
  <si>
    <t>Derby City Childminding Network - Lloyd Kay Dawn</t>
  </si>
  <si>
    <t>Derby City Childminding Network - Rachel Wiggins</t>
  </si>
  <si>
    <t>EY360259</t>
  </si>
  <si>
    <t>Derby City Childminding Network - Rebecca Sarah Wall</t>
  </si>
  <si>
    <t>EY278371</t>
  </si>
  <si>
    <t>Derby City Childminding Network - Rosalyn Phillips</t>
  </si>
  <si>
    <t>EY268223</t>
  </si>
  <si>
    <t>Derby City Childminding Network - Susie Catherine Vere</t>
  </si>
  <si>
    <t>EY347944</t>
  </si>
  <si>
    <t>Derby City Childminding Network - Suzette Louise Bryden</t>
  </si>
  <si>
    <t>EY335566</t>
  </si>
  <si>
    <t>Derby City Childminding Network - Tamasine Louise Ashforth</t>
  </si>
  <si>
    <t>EY299849</t>
  </si>
  <si>
    <t>Derby City Childminding Network - Wendy Jane Wheawall</t>
  </si>
  <si>
    <t>EY318345</t>
  </si>
  <si>
    <t>Derby High School</t>
  </si>
  <si>
    <t>EY240925</t>
  </si>
  <si>
    <t>Derby Montessori School</t>
  </si>
  <si>
    <t>DE22 3LN</t>
  </si>
  <si>
    <t>EY218880</t>
  </si>
  <si>
    <t>Diamond Day PDN</t>
  </si>
  <si>
    <t>EY421215</t>
  </si>
  <si>
    <t>Elvaston Lane Pre-School Playgroup</t>
  </si>
  <si>
    <t>DE24 0PE</t>
  </si>
  <si>
    <t>Emmanuel School</t>
  </si>
  <si>
    <t>DE22 1FP</t>
  </si>
  <si>
    <t>EY345674</t>
  </si>
  <si>
    <t>Field Lane Playgroup Ltd</t>
  </si>
  <si>
    <t>DE24 0GW</t>
  </si>
  <si>
    <t>EY307423</t>
  </si>
  <si>
    <t>First Friends Private Day Nursery</t>
  </si>
  <si>
    <t>DE21 6HP</t>
  </si>
  <si>
    <t>First Steps Early Years Centre</t>
  </si>
  <si>
    <t>EY440848</t>
  </si>
  <si>
    <t>Grampian Primary Academy School</t>
  </si>
  <si>
    <t>Heatherton Pre-School</t>
  </si>
  <si>
    <t>EY406182</t>
  </si>
  <si>
    <t>Homelands Early Years Centre</t>
  </si>
  <si>
    <t>EY440937</t>
  </si>
  <si>
    <t>Horwood Avenue Pre-School</t>
  </si>
  <si>
    <t>DE22 3PB</t>
  </si>
  <si>
    <t>Jack N Jill Nursery</t>
  </si>
  <si>
    <t>DE1 1RY</t>
  </si>
  <si>
    <t>EY384884</t>
  </si>
  <si>
    <t>King George V Pre-School</t>
  </si>
  <si>
    <t>DE23 6GT</t>
  </si>
  <si>
    <t>Kingfisher Day Nurser Pre-School And A</t>
  </si>
  <si>
    <t>EY285337</t>
  </si>
  <si>
    <t>Kingfisher Day Nursery (2)</t>
  </si>
  <si>
    <t>EY371448</t>
  </si>
  <si>
    <t>La Petite Academy</t>
  </si>
  <si>
    <t>DE23 1DG</t>
  </si>
  <si>
    <t>Leapfrog Day Nursery(1)</t>
  </si>
  <si>
    <t>DE21 2SF</t>
  </si>
  <si>
    <t>Leapfrogs Pre School</t>
  </si>
  <si>
    <t>DE73 6UT</t>
  </si>
  <si>
    <t>Little Acorns Nursery</t>
  </si>
  <si>
    <t>DE22 3LX</t>
  </si>
  <si>
    <t>Little Oaks</t>
  </si>
  <si>
    <t>EY425466</t>
  </si>
  <si>
    <t>Little Poppies Pre-School ( Royal British</t>
  </si>
  <si>
    <t>DE3 9GB</t>
  </si>
  <si>
    <t>EY371611</t>
  </si>
  <si>
    <t>Little Scholars Private Day Nursery(1) Sunnyhill</t>
  </si>
  <si>
    <t>DE23 1GQ</t>
  </si>
  <si>
    <t>Little Scholars Private Day Nursery(2) Littleover</t>
  </si>
  <si>
    <t>DE23 3EY</t>
  </si>
  <si>
    <t>Littlesteps Pre- School</t>
  </si>
  <si>
    <t>DE23 6EP</t>
  </si>
  <si>
    <t>EY385725</t>
  </si>
  <si>
    <t>Mary Poppins Day Nursery</t>
  </si>
  <si>
    <t>DE3 9AJ</t>
  </si>
  <si>
    <t>Mickleover Methodist Playgroup</t>
  </si>
  <si>
    <t>DE3 9GH</t>
  </si>
  <si>
    <t>Oak House Nursery</t>
  </si>
  <si>
    <t>DE3 9FN</t>
  </si>
  <si>
    <t>EY304261</t>
  </si>
  <si>
    <t>Oaktree Day Nursery</t>
  </si>
  <si>
    <t>DE21 6ND</t>
  </si>
  <si>
    <t>Orchard Day Nursery And Nursery Scho</t>
  </si>
  <si>
    <t>DE73 5SB</t>
  </si>
  <si>
    <t>Orchard Nursery School(1)</t>
  </si>
  <si>
    <t>DE73 6RF</t>
  </si>
  <si>
    <t>Park Playgroup (the)</t>
  </si>
  <si>
    <t>DE21 6LN</t>
  </si>
  <si>
    <t>Play &amp; Learn</t>
  </si>
  <si>
    <t>DE23 6HB</t>
  </si>
  <si>
    <t>EY284120</t>
  </si>
  <si>
    <t>Play Corner - Day Nursery</t>
  </si>
  <si>
    <t>EY331291</t>
  </si>
  <si>
    <t>Playaway Nursery</t>
  </si>
  <si>
    <t>DE22 3HX</t>
  </si>
  <si>
    <t>EY261314</t>
  </si>
  <si>
    <t>Playdays Opportunity Group</t>
  </si>
  <si>
    <t>DE24 9RJ</t>
  </si>
  <si>
    <t>Positive Steps Childcare</t>
  </si>
  <si>
    <t>EY370198</t>
  </si>
  <si>
    <t>Pride Park Day Nursery</t>
  </si>
  <si>
    <t>DE24 8AJ</t>
  </si>
  <si>
    <t>EY283730</t>
  </si>
  <si>
    <t>Riverside Day Nursery - Asquith Court</t>
  </si>
  <si>
    <t>DE24 8HX</t>
  </si>
  <si>
    <t>EY283239</t>
  </si>
  <si>
    <t>Rosehill Early Years Centre</t>
  </si>
  <si>
    <t>EY440893</t>
  </si>
  <si>
    <t>Royal School For The Deaf</t>
  </si>
  <si>
    <t>DE22 3BH</t>
  </si>
  <si>
    <t>Rydale Childrens Centre P D N</t>
  </si>
  <si>
    <t>DE22 4EN</t>
  </si>
  <si>
    <t>EY370254</t>
  </si>
  <si>
    <t>Shelton Lock Pre-School</t>
  </si>
  <si>
    <t>DE24 9EJ</t>
  </si>
  <si>
    <t>EY347673</t>
  </si>
  <si>
    <t>Silver Trees Private Day Nursery</t>
  </si>
  <si>
    <t>DE22 3AD</t>
  </si>
  <si>
    <t>EY282326</t>
  </si>
  <si>
    <t>Sinfin Community Childcare</t>
  </si>
  <si>
    <t>DE24 9HG</t>
  </si>
  <si>
    <t>EY279508</t>
  </si>
  <si>
    <t>Sinfin Community Childcare at SCILLS Community Centre</t>
  </si>
  <si>
    <t>EY456892</t>
  </si>
  <si>
    <t>St Andrew's Pre-School Playgroup</t>
  </si>
  <si>
    <t>DE23 7PX</t>
  </si>
  <si>
    <t>St Edmunds Pre-School And Playgroup</t>
  </si>
  <si>
    <t>DE22 2NF</t>
  </si>
  <si>
    <t>St Joseph's R. C. Pre-School</t>
  </si>
  <si>
    <t>DE23 6SB</t>
  </si>
  <si>
    <t>St Paul's Church Hall Pre-School</t>
  </si>
  <si>
    <t>EY395637</t>
  </si>
  <si>
    <t>Sure Start Derwent Stepping Stones</t>
  </si>
  <si>
    <t>DE21 6AH</t>
  </si>
  <si>
    <t>EY330097</t>
  </si>
  <si>
    <t>The Cottage Private Day Nursery(1)</t>
  </si>
  <si>
    <t>DE22 3PD</t>
  </si>
  <si>
    <t>EY100960</t>
  </si>
  <si>
    <t>The Cottage Private Day Nursery(3)</t>
  </si>
  <si>
    <t>The Light House</t>
  </si>
  <si>
    <t>DE21 6AL</t>
  </si>
  <si>
    <t>EY359739</t>
  </si>
  <si>
    <t>The Orchard Garden Private Day Nurser</t>
  </si>
  <si>
    <t>DE1 1RX</t>
  </si>
  <si>
    <t>EY103452</t>
  </si>
  <si>
    <t>Tiny Tots Day Nursery</t>
  </si>
  <si>
    <t>DE24 0JP</t>
  </si>
  <si>
    <t>Treetops Private Day Nursery</t>
  </si>
  <si>
    <t>DE21 2DF</t>
  </si>
  <si>
    <t>White House Kids Club</t>
  </si>
  <si>
    <t>DE72 3HB</t>
  </si>
  <si>
    <t>EY393352</t>
  </si>
  <si>
    <t>Whitehouse Day Nursery Limited</t>
  </si>
  <si>
    <t>EY431769</t>
  </si>
  <si>
    <t>White House Day Nursery Alvaston</t>
  </si>
  <si>
    <t>EY452684</t>
  </si>
  <si>
    <t>Woodlands Private Day Nursery</t>
  </si>
  <si>
    <t>DE22 1BJ</t>
  </si>
  <si>
    <t>All Maintained</t>
  </si>
  <si>
    <t>Maintained</t>
  </si>
  <si>
    <t>All PVI</t>
  </si>
  <si>
    <t>PVI</t>
  </si>
  <si>
    <t>Total ALL</t>
  </si>
  <si>
    <t>DfE No or Ofsted ID</t>
  </si>
  <si>
    <t>Setting Type</t>
  </si>
  <si>
    <t>Amount (£)</t>
  </si>
  <si>
    <t>Unit</t>
  </si>
  <si>
    <t>Number of units</t>
  </si>
  <si>
    <t>Anticipated Total Budget (£)</t>
  </si>
  <si>
    <t>M = Maintained Nursery at a School</t>
  </si>
  <si>
    <t>per hour</t>
  </si>
  <si>
    <t>S = Stand Alone Maintained Nursery School</t>
  </si>
  <si>
    <t>P = Pre School</t>
  </si>
  <si>
    <t>D = Day Nursery</t>
  </si>
  <si>
    <t>Number of weeks</t>
  </si>
  <si>
    <t xml:space="preserve">Unit </t>
  </si>
  <si>
    <t>Graduate Leader £80K pot</t>
  </si>
  <si>
    <t>lump sum</t>
  </si>
  <si>
    <t>Select…</t>
  </si>
  <si>
    <t>3. Other formula
factors and lump sums (if applicable)</t>
  </si>
  <si>
    <t>Base for Stand Alone Maintained Nurseries</t>
  </si>
  <si>
    <t>Rates for Stand Alone Maintained Nurseries</t>
  </si>
  <si>
    <t>ERS for Stand Alone Maintained Nurseries</t>
  </si>
  <si>
    <t>TA Hours for Stand Alone Maintained Nurseries</t>
  </si>
  <si>
    <t>Retrospective TA Hours for Stand Alone Maintained Nurseries</t>
  </si>
  <si>
    <t>Prior Year Adjustment for actual hours delivered</t>
  </si>
  <si>
    <t>TOTAL FUNDING FOR EARLY YEARS SINGLE FUNDING FORMULA :</t>
  </si>
  <si>
    <t xml:space="preserve">Academies will need to pay for any Schools Block LACSEG Services they wish to buy back from the LA e.g a few examples: FSM eligibility / Insurance / Support for Inclusion / Behaviour Support </t>
  </si>
  <si>
    <t>Nursery/Setting</t>
  </si>
  <si>
    <t>Cost Centre</t>
  </si>
  <si>
    <t>DCSF No</t>
  </si>
  <si>
    <t>Max No of Places</t>
  </si>
  <si>
    <t>Max No of Hours</t>
  </si>
  <si>
    <t>Reported Hours</t>
  </si>
  <si>
    <t>Stand Alone</t>
  </si>
  <si>
    <t>PreSchool</t>
  </si>
  <si>
    <t>Day Nursery</t>
  </si>
  <si>
    <t>Hourly Rate</t>
  </si>
  <si>
    <t>Maintained Subtotal</t>
  </si>
  <si>
    <t>Wyndham Primary School</t>
  </si>
  <si>
    <t>Unallocated</t>
  </si>
  <si>
    <t>Base Funding</t>
  </si>
  <si>
    <t>Deprivation Hours</t>
  </si>
  <si>
    <t>Total Deprivation Funding</t>
  </si>
  <si>
    <t>Vulnerable Children Pupil Numbers</t>
  </si>
  <si>
    <t>Total Vulnerable Funding</t>
  </si>
  <si>
    <t>EAL Pupil Hours</t>
  </si>
  <si>
    <t>EAL Hourly Rate</t>
  </si>
  <si>
    <t>Total EAL Funding</t>
  </si>
  <si>
    <t>Quality Factor</t>
  </si>
  <si>
    <t>Prior Year Adjustment</t>
  </si>
  <si>
    <t>Total 2013-14</t>
  </si>
  <si>
    <t>2012/13 Funding (Exc Retro hours adjust)</t>
  </si>
  <si>
    <t>Variance (reduced)/ Increased Funding</t>
  </si>
  <si>
    <t>2012/13 Hours</t>
  </si>
  <si>
    <t>2013/14 Hours</t>
  </si>
  <si>
    <t>Change</t>
  </si>
  <si>
    <t>fewer hours</t>
  </si>
  <si>
    <t>EY sheet</t>
  </si>
  <si>
    <t>1. Base Rate(s) per hour, per provider type.   Setting Type</t>
  </si>
  <si>
    <t>Deprivation (Mandatory) Supplement</t>
  </si>
  <si>
    <t>Quality Supplements</t>
  </si>
  <si>
    <t>High Needs Total</t>
  </si>
  <si>
    <t>Schools Block Total</t>
  </si>
  <si>
    <t>Special Places</t>
  </si>
  <si>
    <t>Retrospective Special Places Adjustment relating to 2012-13</t>
  </si>
  <si>
    <t>Ivy House School</t>
  </si>
  <si>
    <t>E400101</t>
  </si>
  <si>
    <t>St Andrew's School</t>
  </si>
  <si>
    <t>E400201</t>
  </si>
  <si>
    <t>St Clare's School</t>
  </si>
  <si>
    <t>E400301</t>
  </si>
  <si>
    <t>St Giles' School</t>
  </si>
  <si>
    <t>E400401</t>
  </si>
  <si>
    <t>St Martins School</t>
  </si>
  <si>
    <t>E400501</t>
  </si>
  <si>
    <t>KS3/4 PRU</t>
  </si>
  <si>
    <t>Newtons Walk KS1/2 PRU</t>
  </si>
  <si>
    <t>All Specials</t>
  </si>
  <si>
    <t>Retro places</t>
  </si>
  <si>
    <t>Other LA</t>
  </si>
  <si>
    <t>Derby City Pupils in Places at Jan 2013</t>
  </si>
  <si>
    <t>TA Hours out of catchment funding £</t>
  </si>
  <si>
    <t>ERS FUNDING 2013-14</t>
  </si>
  <si>
    <t>(ACTUAL FILLED PLACES AS AT JANUARY 2013)</t>
  </si>
  <si>
    <t>PLACE NUMBERS</t>
  </si>
  <si>
    <t>CURRENT BUDGET</t>
  </si>
  <si>
    <t>PLACE Funding</t>
  </si>
  <si>
    <t>PLACE top up before AWPU</t>
  </si>
  <si>
    <t>PLUS AWP FUNDING</t>
  </si>
  <si>
    <t>April</t>
  </si>
  <si>
    <t>Sept</t>
  </si>
  <si>
    <t>Top-up April-August</t>
  </si>
  <si>
    <t>Top-up September-March</t>
  </si>
  <si>
    <t>Top Up</t>
  </si>
  <si>
    <t>ERS SCHOOLS</t>
  </si>
  <si>
    <t>TOTAL TOP UP INCLUDING AWP FUNDING</t>
  </si>
  <si>
    <t>September 2012 to March 2013</t>
  </si>
  <si>
    <t>KS1/2</t>
  </si>
  <si>
    <t>April-August</t>
  </si>
  <si>
    <t>September-March</t>
  </si>
  <si>
    <t xml:space="preserve">Band 2 </t>
  </si>
  <si>
    <t>Band 3</t>
  </si>
  <si>
    <t>Band 4</t>
  </si>
  <si>
    <t>Band 5</t>
  </si>
  <si>
    <t>Band 6</t>
  </si>
  <si>
    <t>Places</t>
  </si>
  <si>
    <t>Place Budget</t>
  </si>
  <si>
    <t>Top up</t>
  </si>
  <si>
    <t>2013/14 Average per place</t>
  </si>
  <si>
    <t>Places Budget including AWPU</t>
  </si>
  <si>
    <t>2012/13 places</t>
  </si>
  <si>
    <t>2012/13 Average per place</t>
  </si>
  <si>
    <t>£10k</t>
  </si>
  <si>
    <t>Bemrose Community School KS3</t>
  </si>
  <si>
    <t>Bemrose Community School KS4</t>
  </si>
  <si>
    <t>Lees Brook Community KS3</t>
  </si>
  <si>
    <t>Lees Brook Community KS4</t>
  </si>
  <si>
    <t>Saint Benedict Catholic School KS3</t>
  </si>
  <si>
    <t>Saint Benedict Catholic School KS4</t>
  </si>
  <si>
    <t>Woodlands Community School KS3</t>
  </si>
  <si>
    <t>Woodlands Community School KS4</t>
  </si>
  <si>
    <t>NURTURE GROUPS</t>
  </si>
  <si>
    <t>Becket Primary</t>
  </si>
  <si>
    <t>Lakeside Community Primary</t>
  </si>
  <si>
    <t>Band 2</t>
  </si>
  <si>
    <t>ERS FUNDING 2013-14 - OTHER LA</t>
  </si>
  <si>
    <t>PLACES BUDGET £10K PER PLACE ALL FUNDED BY DERBY - TOP UP ONLY FUNDED BY COMMISSIONING AUTHORITY</t>
  </si>
  <si>
    <t>Derbyshire</t>
  </si>
  <si>
    <t>4) Low cost, high incidence SEN (Prior Attainment)</t>
  </si>
  <si>
    <t>Additional Funding</t>
  </si>
  <si>
    <t>ERS Pupils in places at Jan 2013</t>
  </si>
  <si>
    <t>Other Local Authority Pupils in Places at Jan 2013</t>
  </si>
  <si>
    <t>ERS Places funding pre-confirmed per DfE reconciliation</t>
  </si>
  <si>
    <t>ERS Vacant Places Transitional Protection Top Up</t>
  </si>
  <si>
    <t>ERS Places Per SLA x £10,000</t>
  </si>
  <si>
    <t>Key Stage</t>
  </si>
  <si>
    <t>DfE</t>
  </si>
  <si>
    <t>Nurture</t>
  </si>
  <si>
    <t>ERS Pupils in Places</t>
  </si>
  <si>
    <t>Places Funding</t>
  </si>
  <si>
    <t>Total Top Up funding if full</t>
  </si>
  <si>
    <t>Total Budget if pupils fill places</t>
  </si>
  <si>
    <t>Total Funding 2013/14</t>
  </si>
  <si>
    <t>Shortfall</t>
  </si>
  <si>
    <t>ERS DfE Places funding</t>
  </si>
  <si>
    <t>none</t>
  </si>
  <si>
    <t>2012/13 ERS funding</t>
  </si>
  <si>
    <t>Total 2012/13 Funding</t>
  </si>
  <si>
    <t>KS2</t>
  </si>
  <si>
    <t>KS1</t>
  </si>
  <si>
    <t>R</t>
  </si>
  <si>
    <t>2012/13 AWPU rough est</t>
  </si>
  <si>
    <t>Full</t>
  </si>
  <si>
    <t>Per Place 13-14</t>
  </si>
  <si>
    <t>Per place 12-13</t>
  </si>
  <si>
    <t>2012 Places pro rata</t>
  </si>
  <si>
    <t>protected by two places by DFE</t>
  </si>
  <si>
    <t>change if not full based on 12-13 Pro rata places</t>
  </si>
  <si>
    <t>change if full based on pro rata places</t>
  </si>
  <si>
    <t>ok as full</t>
  </si>
  <si>
    <t>Al Schools</t>
  </si>
  <si>
    <t>Special DfE Places funding</t>
  </si>
  <si>
    <t>Special Places funding pre-confirmed per DfE reconciliation</t>
  </si>
  <si>
    <t>Pupils in Places</t>
  </si>
  <si>
    <t>Pupils funding</t>
  </si>
  <si>
    <t>Other LA Places</t>
  </si>
  <si>
    <t>Other Local Authority pupils funding</t>
  </si>
  <si>
    <t>Vacant Places Transitional Protection Top Up</t>
  </si>
  <si>
    <t>Band 1</t>
  </si>
  <si>
    <t>Yr1-2</t>
  </si>
  <si>
    <t>Yr3-6</t>
  </si>
  <si>
    <t>Yr7+</t>
  </si>
  <si>
    <t>Rate</t>
  </si>
  <si>
    <t>Total Including non derby</t>
  </si>
  <si>
    <t>Derby LA</t>
  </si>
  <si>
    <t xml:space="preserve">Total pupil led top up funding </t>
  </si>
  <si>
    <t>Per Daljit</t>
  </si>
  <si>
    <t>Control check</t>
  </si>
  <si>
    <t>Residential Places</t>
  </si>
  <si>
    <t>Residential Places Top up funding</t>
  </si>
  <si>
    <t>Delegation £93,268</t>
  </si>
  <si>
    <t>(FULL)</t>
  </si>
  <si>
    <t>not needed</t>
  </si>
  <si>
    <t>higher due to DFE</t>
  </si>
  <si>
    <t>Indicative High Needs to be funded by Derbyshire LA</t>
  </si>
  <si>
    <t>Indicative High Needs Funding from Derby City LA</t>
  </si>
  <si>
    <t>DFE</t>
  </si>
  <si>
    <t>De-delegation</t>
  </si>
  <si>
    <t>Place led funding - Special Schools</t>
  </si>
  <si>
    <t>Place led funding - Alternative Provision</t>
  </si>
  <si>
    <t>Pru places</t>
  </si>
  <si>
    <t>Derby City</t>
  </si>
  <si>
    <t>Top up Rates</t>
  </si>
  <si>
    <t>Derby City Number of Pupils</t>
  </si>
  <si>
    <t>Other LA Number of Pupils</t>
  </si>
  <si>
    <t>Top up Funding £'s</t>
  </si>
  <si>
    <t>Residential Places Top up Rates</t>
  </si>
  <si>
    <t>Residential Number of Pupils</t>
  </si>
  <si>
    <t>Residential Top up Funding £'s</t>
  </si>
  <si>
    <t xml:space="preserve">ERS Places </t>
  </si>
  <si>
    <t>Ey</t>
  </si>
  <si>
    <t>Without EY</t>
  </si>
  <si>
    <t>updated</t>
  </si>
  <si>
    <t>St Martins</t>
  </si>
  <si>
    <t>St Giles</t>
  </si>
  <si>
    <t>St Giles should also have £63,502 on top for additional provision for resource unit - not yet confirmed but a pupil is in the unit and school expecting it as received pro rata in 12/13</t>
  </si>
  <si>
    <t>KS1 Class Factor (£11K per teacher required for 1:30 pupils ratio)</t>
  </si>
  <si>
    <t>ERS Places per DFE</t>
  </si>
  <si>
    <t>Other LA Pupils in Places</t>
  </si>
  <si>
    <t>ERS Vacant Places Transitional Protection</t>
  </si>
  <si>
    <t>Indicative Sixth Form (not yet known)</t>
  </si>
  <si>
    <t>Contingency</t>
  </si>
  <si>
    <t>Contingency (PFI Budget Increase)</t>
  </si>
  <si>
    <t>Teachers Pay Grant</t>
  </si>
  <si>
    <t>Figures now confirmed for maintained schools only</t>
  </si>
  <si>
    <t>School Budget INCLUDING High Needs, KS1 Class Factor, Contingency, TPG &amp; Rates, EXCLUDING EARLY YEARS (Please add in Early Years if you have a Nursery)</t>
  </si>
  <si>
    <t>School Budget INCLUDING High Needs, KS1 Class Factor, Contingency, TPG &amp; EXCLUDING Rates &amp; EARLY YEARS (Please add in Early Years if you have a Nursery)</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</si>
</sst>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000000000"/>
    <numFmt numFmtId="166" formatCode="&quot;£&quot;#,##0"/>
    <numFmt numFmtId="167" formatCode="&quot;£&quot;#,##0.00"/>
    <numFmt numFmtId="168" formatCode="#,##0.000"/>
    <numFmt numFmtId="169" formatCode="_-* #,##0_-;\-* #,##0_-;_-* &quot;-&quot;??_-;_-@_-"/>
    <numFmt numFmtId="170" formatCode="#,##0_ ;[Red]\-#,##0\ "/>
    <numFmt numFmtId="171" formatCode="0.0%"/>
    <numFmt numFmtId="172" formatCode="#,##0.00000"/>
    <numFmt numFmtId="173" formatCode="m/d"/>
    <numFmt numFmtId="174" formatCode="#,##0.0000000000"/>
    <numFmt numFmtId="175" formatCode="0.00000"/>
    <numFmt numFmtId="176" formatCode="#,##0.0000"/>
    <numFmt numFmtId="177" formatCode="_(&quot;$&quot;* #,##0.00_);_(&quot;$&quot;* \(#,##0.00\);_(&quot;$&quot;* &quot;-&quot;??_);_(@_)"/>
    <numFmt numFmtId="178" formatCode="_-&quot;£&quot;* #,##0_-;\-&quot;£&quot;* #,##0_-;_-&quot;£&quot;* &quot;-&quot;??_-;_-@_-"/>
    <numFmt numFmtId="179" formatCode="#,##0_ ;\-#,##0\ "/>
  </numFmts>
  <fonts count="56" x14ac:knownFonts="1">
    <font>
      <sz val="10"/>
      <name val="Arial"/>
    </font>
    <font>
      <sz val="10"/>
      <name val="Arial"/>
      <family val="2"/>
    </font>
    <font>
      <sz val="8"/>
      <name val="Arial"/>
      <family val="2"/>
    </font>
    <font>
      <b/>
      <sz val="10"/>
      <name val="Arial"/>
      <family val="2"/>
    </font>
    <font>
      <sz val="10"/>
      <name val="Arial"/>
      <family val="2"/>
    </font>
    <font>
      <b/>
      <sz val="8"/>
      <color indexed="81"/>
      <name val="Tahoma"/>
      <family val="2"/>
    </font>
    <font>
      <sz val="8"/>
      <color indexed="81"/>
      <name val="Tahoma"/>
      <family val="2"/>
    </font>
    <font>
      <sz val="10"/>
      <color indexed="53"/>
      <name val="Arial"/>
      <family val="2"/>
    </font>
    <font>
      <sz val="10"/>
      <color indexed="10"/>
      <name val="Arial"/>
      <family val="2"/>
    </font>
    <font>
      <b/>
      <sz val="10"/>
      <color indexed="10"/>
      <name val="Arial"/>
      <family val="2"/>
    </font>
    <font>
      <b/>
      <sz val="8"/>
      <name val="Arial"/>
      <family val="2"/>
    </font>
    <font>
      <sz val="8"/>
      <name val="Arial"/>
      <family val="2"/>
    </font>
    <font>
      <b/>
      <sz val="12"/>
      <name val="Arial"/>
      <family val="2"/>
    </font>
    <font>
      <b/>
      <sz val="10"/>
      <color indexed="23"/>
      <name val="Arial"/>
      <family val="2"/>
    </font>
    <font>
      <sz val="10"/>
      <color indexed="23"/>
      <name val="Arial"/>
      <family val="2"/>
    </font>
    <font>
      <b/>
      <sz val="10"/>
      <color indexed="55"/>
      <name val="Arial"/>
      <family val="2"/>
    </font>
    <font>
      <sz val="10"/>
      <color indexed="55"/>
      <name val="Arial"/>
      <family val="2"/>
    </font>
    <font>
      <sz val="11"/>
      <name val="Arial"/>
      <family val="2"/>
    </font>
    <font>
      <sz val="10"/>
      <color indexed="8"/>
      <name val="Times New Roman"/>
      <family val="1"/>
    </font>
    <font>
      <sz val="10"/>
      <color indexed="8"/>
      <name val="Arial"/>
      <family val="2"/>
    </font>
    <font>
      <b/>
      <i/>
      <u/>
      <sz val="9"/>
      <name val="Arial"/>
      <family val="2"/>
    </font>
    <font>
      <b/>
      <i/>
      <sz val="8"/>
      <name val="Arial"/>
      <family val="2"/>
    </font>
    <font>
      <b/>
      <i/>
      <u/>
      <sz val="8"/>
      <name val="Arial"/>
      <family val="2"/>
    </font>
    <font>
      <b/>
      <u/>
      <sz val="11"/>
      <name val="Arial"/>
      <family val="2"/>
    </font>
    <font>
      <b/>
      <u val="double"/>
      <sz val="11"/>
      <name val="Arial"/>
      <family val="2"/>
    </font>
    <font>
      <sz val="8"/>
      <color indexed="8"/>
      <name val="Arial"/>
      <family val="2"/>
    </font>
    <font>
      <i/>
      <sz val="8"/>
      <color indexed="48"/>
      <name val="Arial"/>
      <family val="2"/>
    </font>
    <font>
      <b/>
      <sz val="8"/>
      <color indexed="8"/>
      <name val="Arial"/>
      <family val="2"/>
    </font>
    <font>
      <sz val="8"/>
      <color indexed="10"/>
      <name val="Arial"/>
      <family val="2"/>
    </font>
    <font>
      <sz val="8"/>
      <color indexed="48"/>
      <name val="Arial"/>
      <family val="2"/>
    </font>
    <font>
      <b/>
      <sz val="8"/>
      <color indexed="11"/>
      <name val="Arial"/>
      <family val="2"/>
    </font>
    <font>
      <sz val="11"/>
      <color indexed="8"/>
      <name val="Arial"/>
      <family val="2"/>
    </font>
    <font>
      <sz val="10"/>
      <color indexed="48"/>
      <name val="Arial"/>
      <family val="2"/>
    </font>
    <font>
      <b/>
      <sz val="10"/>
      <color indexed="8"/>
      <name val="Arial"/>
      <family val="2"/>
    </font>
    <font>
      <sz val="10"/>
      <color indexed="12"/>
      <name val="Arial"/>
      <family val="2"/>
    </font>
    <font>
      <sz val="20"/>
      <name val="Arial"/>
      <family val="2"/>
    </font>
    <font>
      <b/>
      <sz val="14"/>
      <name val="Arial"/>
      <family val="2"/>
    </font>
    <font>
      <sz val="10"/>
      <color indexed="81"/>
      <name val="Tahoma"/>
      <family val="2"/>
    </font>
    <font>
      <b/>
      <sz val="10"/>
      <color indexed="81"/>
      <name val="Tahoma"/>
      <family val="2"/>
    </font>
    <font>
      <sz val="9"/>
      <color indexed="81"/>
      <name val="Tahoma"/>
      <family val="2"/>
    </font>
    <font>
      <b/>
      <sz val="9"/>
      <color indexed="81"/>
      <name val="Tahoma"/>
      <family val="2"/>
    </font>
    <font>
      <sz val="12"/>
      <name val="Arial"/>
      <family val="2"/>
    </font>
    <font>
      <sz val="12"/>
      <color indexed="55"/>
      <name val="Arial"/>
      <family val="2"/>
    </font>
    <font>
      <sz val="11"/>
      <color theme="1"/>
      <name val="Calibri"/>
      <family val="2"/>
      <scheme val="minor"/>
    </font>
    <font>
      <b/>
      <sz val="11"/>
      <color theme="1"/>
      <name val="Calibri"/>
      <family val="2"/>
      <scheme val="minor"/>
    </font>
    <font>
      <b/>
      <sz val="11"/>
      <name val="Arial"/>
      <family val="2"/>
    </font>
    <font>
      <b/>
      <sz val="11"/>
      <color indexed="48"/>
      <name val="Arial"/>
      <family val="2"/>
    </font>
    <font>
      <i/>
      <sz val="12"/>
      <name val="Arial"/>
      <family val="2"/>
    </font>
    <font>
      <sz val="11"/>
      <name val="Calibri"/>
      <family val="2"/>
      <scheme val="minor"/>
    </font>
    <font>
      <sz val="10"/>
      <color indexed="21"/>
      <name val="System"/>
      <family val="2"/>
    </font>
    <font>
      <sz val="9"/>
      <color indexed="18"/>
      <name val="Arial"/>
      <family val="2"/>
    </font>
    <font>
      <sz val="10"/>
      <color indexed="18"/>
      <name val="System"/>
      <family val="2"/>
    </font>
    <font>
      <i/>
      <sz val="10"/>
      <color indexed="17"/>
      <name val="System"/>
      <family val="2"/>
    </font>
    <font>
      <sz val="10"/>
      <color indexed="14"/>
      <name val="System"/>
      <family val="2"/>
    </font>
    <font>
      <sz val="9"/>
      <name val="Arial"/>
      <family val="2"/>
    </font>
    <font>
      <sz val="10"/>
      <color indexed="17"/>
      <name val="System"/>
      <family val="2"/>
    </font>
  </fonts>
  <fills count="39">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51"/>
        <bgColor indexed="64"/>
      </patternFill>
    </fill>
    <fill>
      <patternFill patternType="solid">
        <fgColor indexed="13"/>
        <bgColor indexed="64"/>
      </patternFill>
    </fill>
    <fill>
      <patternFill patternType="solid">
        <fgColor indexed="52"/>
        <bgColor indexed="64"/>
      </patternFill>
    </fill>
    <fill>
      <patternFill patternType="solid">
        <fgColor indexed="43"/>
        <bgColor indexed="64"/>
      </patternFill>
    </fill>
    <fill>
      <patternFill patternType="solid">
        <fgColor indexed="44"/>
        <bgColor indexed="64"/>
      </patternFill>
    </fill>
    <fill>
      <patternFill patternType="solid">
        <fgColor indexed="11"/>
        <bgColor indexed="64"/>
      </patternFill>
    </fill>
    <fill>
      <patternFill patternType="solid">
        <fgColor indexed="55"/>
        <bgColor indexed="64"/>
      </patternFill>
    </fill>
    <fill>
      <patternFill patternType="solid">
        <fgColor indexed="40"/>
        <bgColor indexed="64"/>
      </patternFill>
    </fill>
    <fill>
      <patternFill patternType="solid">
        <fgColor indexed="10"/>
        <bgColor indexed="64"/>
      </patternFill>
    </fill>
    <fill>
      <patternFill patternType="solid">
        <fgColor indexed="15"/>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gray125">
        <fgColor indexed="8"/>
        <bgColor indexed="43"/>
      </patternFill>
    </fill>
    <fill>
      <patternFill patternType="solid">
        <fgColor indexed="41"/>
        <bgColor indexed="8"/>
      </patternFill>
    </fill>
    <fill>
      <patternFill patternType="solid">
        <fgColor indexed="65"/>
        <bgColor indexed="64"/>
      </patternFill>
    </fill>
    <fill>
      <patternFill patternType="solid">
        <fgColor indexed="42"/>
        <bgColor indexed="8"/>
      </patternFill>
    </fill>
    <fill>
      <patternFill patternType="solid">
        <fgColor indexed="14"/>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8"/>
      </patternFill>
    </fill>
    <fill>
      <patternFill patternType="solid">
        <fgColor indexed="45"/>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rgb="FF00B0F0"/>
        <bgColor indexed="64"/>
      </patternFill>
    </fill>
  </fills>
  <borders count="8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right/>
      <top style="thin">
        <color indexed="13"/>
      </top>
      <bottom style="thin">
        <color indexed="13"/>
      </bottom>
      <diagonal/>
    </border>
    <border>
      <left/>
      <right style="medium">
        <color indexed="33"/>
      </right>
      <top/>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diagonal/>
    </border>
    <border>
      <left style="medium">
        <color indexed="64"/>
      </left>
      <right/>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7">
    <xf numFmtId="0" fontId="0" fillId="0" borderId="0"/>
    <xf numFmtId="0" fontId="1" fillId="0" borderId="0"/>
    <xf numFmtId="0" fontId="1" fillId="0" borderId="0"/>
    <xf numFmtId="43" fontId="1" fillId="0" borderId="0" applyFont="0" applyFill="0" applyBorder="0" applyAlignment="0" applyProtection="0"/>
    <xf numFmtId="0" fontId="10" fillId="0" borderId="0">
      <alignment horizontal="center" vertical="center" wrapText="1"/>
    </xf>
    <xf numFmtId="0" fontId="11" fillId="0" borderId="1">
      <alignment horizontal="center" vertical="center" wrapText="1"/>
    </xf>
    <xf numFmtId="0" fontId="10" fillId="0" borderId="0">
      <alignment horizontal="left" wrapText="1"/>
    </xf>
    <xf numFmtId="0" fontId="11" fillId="0" borderId="0">
      <alignment horizontal="left" vertical="center"/>
    </xf>
    <xf numFmtId="0" fontId="11" fillId="0" borderId="0">
      <alignment horizontal="center" vertical="center"/>
    </xf>
    <xf numFmtId="0" fontId="4" fillId="0" borderId="0"/>
    <xf numFmtId="0" fontId="1" fillId="0" borderId="0"/>
    <xf numFmtId="0" fontId="4" fillId="0" borderId="0"/>
    <xf numFmtId="0" fontId="17" fillId="0" borderId="0"/>
    <xf numFmtId="0" fontId="18" fillId="0" borderId="0" applyNumberFormat="0" applyFill="0" applyBorder="0" applyAlignment="0" applyProtection="0"/>
    <xf numFmtId="3" fontId="11" fillId="0" borderId="0">
      <alignment horizontal="right"/>
    </xf>
    <xf numFmtId="0" fontId="1" fillId="0" borderId="0"/>
    <xf numFmtId="0" fontId="1" fillId="0" borderId="0"/>
    <xf numFmtId="0" fontId="1" fillId="0" borderId="0"/>
    <xf numFmtId="0" fontId="1" fillId="0" borderId="0"/>
    <xf numFmtId="0" fontId="43" fillId="0" borderId="0"/>
    <xf numFmtId="9"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0" fontId="19" fillId="0" borderId="0"/>
    <xf numFmtId="0" fontId="49" fillId="0" borderId="0" applyNumberFormat="0" applyFill="0" applyBorder="0" applyAlignment="0" applyProtection="0">
      <protection locked="0"/>
    </xf>
    <xf numFmtId="1" fontId="50" fillId="0" borderId="0" applyNumberFormat="0" applyFill="0" applyBorder="0" applyAlignment="0" applyProtection="0"/>
    <xf numFmtId="1" fontId="51" fillId="0" borderId="0" applyNumberFormat="0" applyFill="0" applyBorder="0" applyAlignment="0" applyProtection="0"/>
    <xf numFmtId="10" fontId="52" fillId="0" borderId="67" applyFill="0" applyAlignment="0" applyProtection="0">
      <protection locked="0"/>
    </xf>
    <xf numFmtId="1" fontId="53" fillId="0" borderId="68" applyNumberFormat="0" applyFill="0" applyBorder="0" applyAlignment="0" applyProtection="0"/>
    <xf numFmtId="0" fontId="1" fillId="0" borderId="0"/>
    <xf numFmtId="0" fontId="2" fillId="0" borderId="15" applyBorder="0">
      <alignment horizontal="right"/>
    </xf>
    <xf numFmtId="177" fontId="1" fillId="0" borderId="0"/>
    <xf numFmtId="177" fontId="1" fillId="0" borderId="0"/>
    <xf numFmtId="177" fontId="1" fillId="0" borderId="0"/>
    <xf numFmtId="0" fontId="54" fillId="0" borderId="0" applyNumberFormat="0" applyFill="0" applyBorder="0" applyAlignment="0" applyProtection="0"/>
    <xf numFmtId="0" fontId="55" fillId="0" borderId="0" applyNumberFormat="0" applyFill="0" applyBorder="0" applyAlignment="0" applyProtection="0"/>
    <xf numFmtId="44" fontId="1" fillId="0" borderId="0" applyFont="0" applyFill="0" applyBorder="0" applyAlignment="0" applyProtection="0"/>
  </cellStyleXfs>
  <cellXfs count="1403">
    <xf numFmtId="0" fontId="0" fillId="0" borderId="0" xfId="0"/>
    <xf numFmtId="0" fontId="0" fillId="0" borderId="0" xfId="0" applyAlignment="1">
      <alignment horizontal="center"/>
    </xf>
    <xf numFmtId="1" fontId="0" fillId="0" borderId="0" xfId="0" applyNumberFormat="1" applyAlignment="1">
      <alignment horizontal="center"/>
    </xf>
    <xf numFmtId="0" fontId="3" fillId="0" borderId="0" xfId="0" applyFont="1"/>
    <xf numFmtId="166" fontId="0" fillId="0" borderId="0" xfId="0" applyNumberFormat="1"/>
    <xf numFmtId="167" fontId="0" fillId="0" borderId="0" xfId="0" applyNumberFormat="1"/>
    <xf numFmtId="166" fontId="0" fillId="0" borderId="0" xfId="0" applyNumberFormat="1" applyAlignment="1">
      <alignment horizontal="center"/>
    </xf>
    <xf numFmtId="0" fontId="0" fillId="0" borderId="3" xfId="0" applyBorder="1"/>
    <xf numFmtId="0" fontId="0" fillId="0" borderId="3" xfId="0" applyBorder="1" applyAlignment="1">
      <alignment horizontal="left"/>
    </xf>
    <xf numFmtId="0" fontId="0" fillId="0" borderId="3" xfId="0" applyBorder="1" applyAlignment="1">
      <alignment horizontal="left" wrapText="1"/>
    </xf>
    <xf numFmtId="0" fontId="4" fillId="0" borderId="0" xfId="0" applyFont="1" applyFill="1" applyAlignment="1">
      <alignment horizontal="center" wrapText="1"/>
    </xf>
    <xf numFmtId="0" fontId="4" fillId="0" borderId="0" xfId="0" applyNumberFormat="1" applyFont="1"/>
    <xf numFmtId="1" fontId="4" fillId="0" borderId="0" xfId="0" applyNumberFormat="1" applyFont="1"/>
    <xf numFmtId="0" fontId="4" fillId="0" borderId="0" xfId="0" applyFont="1"/>
    <xf numFmtId="1" fontId="4" fillId="0" borderId="2" xfId="0" applyNumberFormat="1" applyFont="1" applyFill="1" applyBorder="1" applyAlignment="1">
      <alignment horizontal="center"/>
    </xf>
    <xf numFmtId="0" fontId="3" fillId="0"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1" fontId="4" fillId="0" borderId="0" xfId="0" applyNumberFormat="1" applyFont="1" applyAlignment="1">
      <alignment horizontal="right"/>
    </xf>
    <xf numFmtId="0" fontId="4" fillId="0" borderId="0" xfId="0" applyNumberFormat="1" applyFont="1" applyAlignment="1">
      <alignment horizontal="right"/>
    </xf>
    <xf numFmtId="0" fontId="4" fillId="0" borderId="0" xfId="0" applyFont="1" applyAlignment="1">
      <alignment horizontal="right"/>
    </xf>
    <xf numFmtId="0" fontId="0" fillId="0" borderId="0" xfId="0" applyFill="1"/>
    <xf numFmtId="1" fontId="0" fillId="0" borderId="0" xfId="0" applyNumberFormat="1"/>
    <xf numFmtId="0" fontId="3" fillId="4" borderId="4" xfId="0" applyFont="1" applyFill="1" applyBorder="1" applyAlignment="1">
      <alignment wrapText="1"/>
    </xf>
    <xf numFmtId="166" fontId="4" fillId="4" borderId="4" xfId="0" applyNumberFormat="1" applyFont="1" applyFill="1" applyBorder="1" applyAlignment="1"/>
    <xf numFmtId="166" fontId="4" fillId="4" borderId="5" xfId="0" applyNumberFormat="1" applyFont="1" applyFill="1" applyBorder="1" applyAlignment="1"/>
    <xf numFmtId="166" fontId="3" fillId="0" borderId="1" xfId="0" applyNumberFormat="1" applyFont="1" applyBorder="1"/>
    <xf numFmtId="0" fontId="3" fillId="0" borderId="0" xfId="0" applyFont="1" applyBorder="1"/>
    <xf numFmtId="0" fontId="0" fillId="0" borderId="6" xfId="0" applyBorder="1"/>
    <xf numFmtId="166" fontId="4" fillId="4" borderId="7" xfId="0" applyNumberFormat="1" applyFont="1" applyFill="1" applyBorder="1" applyAlignment="1"/>
    <xf numFmtId="0" fontId="4" fillId="0" borderId="0" xfId="0" applyFont="1" applyFill="1" applyBorder="1"/>
    <xf numFmtId="0" fontId="3" fillId="0" borderId="0" xfId="0" applyFont="1" applyFill="1" applyBorder="1" applyAlignment="1">
      <alignment wrapText="1"/>
    </xf>
    <xf numFmtId="0" fontId="0" fillId="0" borderId="0" xfId="0" applyFill="1" applyBorder="1" applyAlignment="1">
      <alignment wrapText="1"/>
    </xf>
    <xf numFmtId="0" fontId="3" fillId="0" borderId="1" xfId="0" applyFont="1" applyBorder="1" applyAlignment="1">
      <alignment horizontal="center"/>
    </xf>
    <xf numFmtId="1" fontId="3" fillId="0" borderId="1" xfId="0" applyNumberFormat="1" applyFont="1" applyBorder="1" applyAlignment="1">
      <alignment horizontal="center"/>
    </xf>
    <xf numFmtId="0" fontId="0" fillId="0" borderId="0" xfId="0" applyFill="1" applyAlignment="1">
      <alignment horizontal="center"/>
    </xf>
    <xf numFmtId="0" fontId="0" fillId="0" borderId="0" xfId="0" applyFill="1" applyAlignment="1">
      <alignment horizontal="center" wrapText="1"/>
    </xf>
    <xf numFmtId="0" fontId="0" fillId="0" borderId="0" xfId="0" applyFill="1" applyAlignment="1"/>
    <xf numFmtId="0" fontId="3" fillId="0" borderId="8" xfId="0" applyFont="1" applyFill="1" applyBorder="1" applyAlignment="1">
      <alignment wrapText="1"/>
    </xf>
    <xf numFmtId="0" fontId="0" fillId="0" borderId="9" xfId="0" applyFill="1" applyBorder="1" applyAlignment="1">
      <alignment wrapText="1"/>
    </xf>
    <xf numFmtId="166" fontId="0" fillId="0" borderId="0" xfId="0" applyNumberFormat="1" applyFill="1" applyBorder="1" applyAlignment="1"/>
    <xf numFmtId="3" fontId="0" fillId="0" borderId="0" xfId="0" applyNumberFormat="1"/>
    <xf numFmtId="0" fontId="3" fillId="0" borderId="0" xfId="0" applyFont="1" applyBorder="1" applyAlignment="1">
      <alignment wrapText="1"/>
    </xf>
    <xf numFmtId="0" fontId="0" fillId="0" borderId="0" xfId="0" applyBorder="1"/>
    <xf numFmtId="166" fontId="4" fillId="4" borderId="5" xfId="0" applyNumberFormat="1" applyFont="1" applyFill="1" applyBorder="1" applyAlignment="1">
      <alignment wrapText="1"/>
    </xf>
    <xf numFmtId="3" fontId="3" fillId="5" borderId="0" xfId="0" applyNumberFormat="1" applyFont="1" applyFill="1"/>
    <xf numFmtId="3" fontId="0" fillId="5" borderId="0" xfId="0" applyNumberFormat="1" applyFill="1"/>
    <xf numFmtId="0" fontId="0" fillId="0" borderId="10" xfId="0" applyFill="1" applyBorder="1"/>
    <xf numFmtId="0" fontId="0" fillId="0" borderId="10" xfId="0" applyBorder="1"/>
    <xf numFmtId="0" fontId="0" fillId="0" borderId="11" xfId="0" applyBorder="1"/>
    <xf numFmtId="0" fontId="0" fillId="0" borderId="8" xfId="0" applyBorder="1"/>
    <xf numFmtId="0" fontId="0" fillId="0" borderId="9" xfId="0" applyBorder="1"/>
    <xf numFmtId="3" fontId="0" fillId="0" borderId="0" xfId="0" applyNumberFormat="1" applyBorder="1"/>
    <xf numFmtId="0" fontId="0" fillId="0" borderId="12" xfId="0" applyBorder="1"/>
    <xf numFmtId="0" fontId="0" fillId="0" borderId="13" xfId="0" applyBorder="1"/>
    <xf numFmtId="0" fontId="0" fillId="0" borderId="14" xfId="0" applyBorder="1"/>
    <xf numFmtId="4" fontId="0" fillId="0" borderId="0" xfId="0" applyNumberFormat="1" applyFill="1"/>
    <xf numFmtId="4" fontId="0" fillId="0" borderId="0" xfId="0" applyNumberFormat="1"/>
    <xf numFmtId="0" fontId="3" fillId="0" borderId="0" xfId="0" applyFont="1" applyFill="1" applyBorder="1"/>
    <xf numFmtId="166" fontId="7" fillId="0" borderId="0" xfId="0" applyNumberFormat="1" applyFont="1" applyFill="1"/>
    <xf numFmtId="4" fontId="0" fillId="0" borderId="0" xfId="0" applyNumberFormat="1" applyFill="1" applyBorder="1"/>
    <xf numFmtId="3" fontId="0" fillId="0" borderId="0" xfId="0" applyNumberFormat="1" applyFill="1"/>
    <xf numFmtId="0" fontId="3" fillId="0" borderId="0" xfId="0" applyFont="1" applyAlignment="1">
      <alignment horizontal="right"/>
    </xf>
    <xf numFmtId="166" fontId="3" fillId="0" borderId="15" xfId="0" applyNumberFormat="1" applyFont="1" applyBorder="1"/>
    <xf numFmtId="3" fontId="0" fillId="5" borderId="8" xfId="0" applyNumberFormat="1" applyFill="1" applyBorder="1"/>
    <xf numFmtId="3" fontId="0" fillId="5" borderId="0" xfId="0" applyNumberFormat="1" applyFill="1" applyBorder="1"/>
    <xf numFmtId="3" fontId="0" fillId="5" borderId="9" xfId="0" applyNumberFormat="1" applyFill="1" applyBorder="1"/>
    <xf numFmtId="0" fontId="4" fillId="0" borderId="0" xfId="0" applyFont="1" applyFill="1" applyBorder="1" applyAlignment="1">
      <alignment wrapText="1"/>
    </xf>
    <xf numFmtId="166" fontId="4" fillId="4" borderId="0" xfId="0" applyNumberFormat="1" applyFont="1" applyFill="1" applyBorder="1" applyAlignment="1"/>
    <xf numFmtId="0" fontId="4" fillId="0" borderId="8" xfId="0" applyFont="1" applyFill="1" applyBorder="1" applyAlignment="1">
      <alignment wrapText="1"/>
    </xf>
    <xf numFmtId="166" fontId="4" fillId="4" borderId="8" xfId="0" applyNumberFormat="1" applyFont="1" applyFill="1" applyBorder="1" applyAlignment="1"/>
    <xf numFmtId="166" fontId="4" fillId="4" borderId="9" xfId="0" applyNumberFormat="1" applyFont="1" applyFill="1" applyBorder="1" applyAlignment="1"/>
    <xf numFmtId="166" fontId="4" fillId="4" borderId="12" xfId="0" applyNumberFormat="1" applyFont="1" applyFill="1" applyBorder="1" applyAlignment="1"/>
    <xf numFmtId="166" fontId="4" fillId="4" borderId="13" xfId="0" applyNumberFormat="1" applyFont="1" applyFill="1" applyBorder="1" applyAlignment="1"/>
    <xf numFmtId="166" fontId="4" fillId="4" borderId="14" xfId="0" applyNumberFormat="1" applyFont="1" applyFill="1" applyBorder="1" applyAlignment="1"/>
    <xf numFmtId="0" fontId="0" fillId="0" borderId="0" xfId="0" applyFill="1" applyBorder="1"/>
    <xf numFmtId="3" fontId="0" fillId="0" borderId="1" xfId="0" applyNumberFormat="1" applyBorder="1"/>
    <xf numFmtId="0" fontId="3" fillId="0" borderId="16" xfId="0" applyFont="1" applyBorder="1"/>
    <xf numFmtId="3" fontId="0" fillId="0" borderId="0" xfId="0" applyNumberFormat="1" applyAlignment="1">
      <alignment horizontal="right"/>
    </xf>
    <xf numFmtId="0" fontId="0" fillId="0" borderId="0" xfId="0" applyAlignment="1">
      <alignment horizontal="right"/>
    </xf>
    <xf numFmtId="0" fontId="0" fillId="6" borderId="0" xfId="0" applyFill="1"/>
    <xf numFmtId="0" fontId="0" fillId="0" borderId="0" xfId="0" applyBorder="1" applyAlignment="1">
      <alignment wrapText="1"/>
    </xf>
    <xf numFmtId="166" fontId="3" fillId="0" borderId="0" xfId="0" applyNumberFormat="1" applyFont="1" applyBorder="1"/>
    <xf numFmtId="166" fontId="7" fillId="0" borderId="0" xfId="0" applyNumberFormat="1" applyFont="1" applyFill="1" applyBorder="1"/>
    <xf numFmtId="3" fontId="0" fillId="5" borderId="0" xfId="0" applyNumberFormat="1" applyFill="1" applyAlignment="1">
      <alignment horizontal="right"/>
    </xf>
    <xf numFmtId="0" fontId="3" fillId="3" borderId="4" xfId="0" applyFont="1" applyFill="1" applyBorder="1" applyAlignment="1">
      <alignment horizontal="right" wrapText="1"/>
    </xf>
    <xf numFmtId="166" fontId="3" fillId="3" borderId="15" xfId="0" applyNumberFormat="1" applyFont="1" applyFill="1" applyBorder="1" applyAlignment="1">
      <alignment horizontal="right"/>
    </xf>
    <xf numFmtId="0" fontId="0" fillId="3" borderId="0" xfId="0" applyFill="1" applyAlignment="1">
      <alignment horizontal="right"/>
    </xf>
    <xf numFmtId="0" fontId="3" fillId="3" borderId="1" xfId="0" applyFont="1" applyFill="1" applyBorder="1" applyAlignment="1">
      <alignment horizontal="right"/>
    </xf>
    <xf numFmtId="166" fontId="0" fillId="3" borderId="0" xfId="0" applyNumberFormat="1" applyFill="1" applyAlignment="1">
      <alignment horizontal="right"/>
    </xf>
    <xf numFmtId="0" fontId="3" fillId="0" borderId="0" xfId="0" applyFont="1" applyBorder="1" applyAlignment="1">
      <alignment horizontal="right"/>
    </xf>
    <xf numFmtId="3" fontId="3" fillId="0" borderId="0" xfId="0" applyNumberFormat="1" applyFont="1" applyAlignment="1">
      <alignment horizontal="right"/>
    </xf>
    <xf numFmtId="3" fontId="0" fillId="0" borderId="0" xfId="0" applyNumberFormat="1" applyFill="1" applyAlignment="1">
      <alignment horizontal="right"/>
    </xf>
    <xf numFmtId="3" fontId="3" fillId="0" borderId="1" xfId="0" applyNumberFormat="1" applyFont="1" applyBorder="1" applyAlignment="1">
      <alignment horizontal="right"/>
    </xf>
    <xf numFmtId="3" fontId="3" fillId="0" borderId="0" xfId="0" applyNumberFormat="1" applyFont="1" applyBorder="1" applyAlignment="1">
      <alignment horizontal="right"/>
    </xf>
    <xf numFmtId="3" fontId="0" fillId="0" borderId="0" xfId="0" applyNumberFormat="1" applyAlignment="1">
      <alignment horizontal="right" wrapText="1"/>
    </xf>
    <xf numFmtId="3" fontId="3" fillId="0" borderId="17" xfId="0" applyNumberFormat="1" applyFont="1" applyBorder="1" applyAlignment="1">
      <alignment horizontal="right"/>
    </xf>
    <xf numFmtId="0" fontId="4" fillId="0" borderId="0" xfId="0" applyFont="1" applyBorder="1" applyAlignment="1">
      <alignment horizontal="right" wrapText="1"/>
    </xf>
    <xf numFmtId="0" fontId="3" fillId="0" borderId="17" xfId="0" applyFont="1" applyBorder="1" applyAlignment="1">
      <alignment horizontal="right"/>
    </xf>
    <xf numFmtId="0" fontId="0" fillId="0" borderId="10" xfId="0" applyFill="1" applyBorder="1" applyAlignment="1">
      <alignment horizontal="right"/>
    </xf>
    <xf numFmtId="3" fontId="0" fillId="0" borderId="0" xfId="0" applyNumberFormat="1" applyBorder="1" applyAlignment="1">
      <alignment horizontal="right"/>
    </xf>
    <xf numFmtId="0" fontId="0" fillId="0" borderId="13" xfId="0" applyBorder="1" applyAlignment="1">
      <alignment horizontal="right"/>
    </xf>
    <xf numFmtId="167" fontId="3" fillId="0" borderId="0" xfId="0" applyNumberFormat="1" applyFont="1" applyFill="1" applyBorder="1"/>
    <xf numFmtId="4" fontId="4" fillId="0" borderId="0" xfId="0" applyNumberFormat="1" applyFont="1" applyFill="1" applyBorder="1" applyAlignment="1"/>
    <xf numFmtId="3" fontId="0" fillId="7" borderId="0" xfId="0" applyNumberFormat="1" applyFill="1" applyAlignment="1">
      <alignment wrapText="1"/>
    </xf>
    <xf numFmtId="0" fontId="0" fillId="7" borderId="0" xfId="0" applyFill="1" applyAlignment="1">
      <alignment wrapText="1"/>
    </xf>
    <xf numFmtId="0" fontId="4" fillId="7" borderId="0" xfId="0" applyFont="1" applyFill="1"/>
    <xf numFmtId="166" fontId="3" fillId="7" borderId="15" xfId="0" applyNumberFormat="1" applyFont="1" applyFill="1" applyBorder="1" applyAlignment="1">
      <alignment horizontal="right"/>
    </xf>
    <xf numFmtId="166" fontId="0" fillId="8" borderId="2" xfId="0" applyNumberFormat="1" applyFill="1" applyBorder="1" applyAlignment="1">
      <alignment horizontal="right" wrapText="1"/>
    </xf>
    <xf numFmtId="166" fontId="0" fillId="8" borderId="3" xfId="0" applyNumberFormat="1" applyFill="1" applyBorder="1" applyAlignment="1"/>
    <xf numFmtId="3" fontId="3" fillId="0" borderId="0" xfId="0" applyNumberFormat="1" applyFont="1" applyFill="1" applyAlignment="1">
      <alignment horizontal="center" wrapText="1"/>
    </xf>
    <xf numFmtId="3" fontId="4" fillId="0" borderId="0" xfId="0" applyNumberFormat="1" applyFont="1" applyFill="1" applyAlignment="1">
      <alignment horizontal="center" wrapText="1"/>
    </xf>
    <xf numFmtId="3" fontId="3" fillId="0" borderId="0" xfId="0" applyNumberFormat="1" applyFont="1" applyFill="1" applyBorder="1" applyAlignment="1">
      <alignment horizontal="center" wrapText="1"/>
    </xf>
    <xf numFmtId="0" fontId="0" fillId="4" borderId="0" xfId="0" applyFill="1" applyAlignment="1">
      <alignment horizontal="center" wrapText="1"/>
    </xf>
    <xf numFmtId="0" fontId="0" fillId="4" borderId="0" xfId="0" applyFill="1" applyAlignment="1"/>
    <xf numFmtId="3" fontId="0" fillId="4" borderId="3" xfId="0" applyNumberFormat="1" applyFill="1" applyBorder="1" applyAlignment="1">
      <alignment horizontal="center" wrapText="1"/>
    </xf>
    <xf numFmtId="1" fontId="0" fillId="4" borderId="0" xfId="0" applyNumberFormat="1" applyFill="1" applyAlignment="1">
      <alignment horizontal="right"/>
    </xf>
    <xf numFmtId="0" fontId="0" fillId="4" borderId="0" xfId="0" applyFill="1"/>
    <xf numFmtId="1" fontId="0" fillId="4" borderId="0" xfId="0" applyNumberFormat="1" applyFill="1"/>
    <xf numFmtId="3" fontId="0" fillId="0" borderId="0" xfId="0" applyNumberFormat="1" applyFill="1" applyBorder="1"/>
    <xf numFmtId="3" fontId="8" fillId="0" borderId="0" xfId="0" applyNumberFormat="1" applyFont="1" applyFill="1" applyBorder="1"/>
    <xf numFmtId="166" fontId="0" fillId="0" borderId="0" xfId="0" applyNumberFormat="1" applyFill="1" applyBorder="1"/>
    <xf numFmtId="0" fontId="4" fillId="0" borderId="0" xfId="11" applyFont="1"/>
    <xf numFmtId="3" fontId="4" fillId="9" borderId="0" xfId="11" applyNumberFormat="1" applyFill="1"/>
    <xf numFmtId="0" fontId="3" fillId="6" borderId="0" xfId="0" applyFont="1" applyFill="1" applyAlignment="1">
      <alignment wrapText="1"/>
    </xf>
    <xf numFmtId="3" fontId="0" fillId="6" borderId="0" xfId="0" applyNumberFormat="1" applyFill="1" applyAlignment="1">
      <alignment horizontal="right"/>
    </xf>
    <xf numFmtId="0" fontId="4" fillId="6" borderId="0" xfId="0" applyFont="1" applyFill="1"/>
    <xf numFmtId="0" fontId="4" fillId="6" borderId="0" xfId="0" applyFont="1" applyFill="1" applyBorder="1" applyAlignment="1">
      <alignment horizontal="right" wrapText="1"/>
    </xf>
    <xf numFmtId="0" fontId="0" fillId="3" borderId="3" xfId="0" applyFill="1" applyBorder="1" applyAlignment="1">
      <alignment horizontal="left"/>
    </xf>
    <xf numFmtId="3" fontId="0" fillId="0" borderId="0" xfId="0" applyNumberFormat="1" applyFill="1" applyAlignment="1">
      <alignment horizontal="center"/>
    </xf>
    <xf numFmtId="0" fontId="3" fillId="0" borderId="0" xfId="0" applyFont="1" applyFill="1" applyBorder="1" applyAlignment="1">
      <alignment horizontal="center"/>
    </xf>
    <xf numFmtId="0" fontId="3" fillId="10" borderId="0" xfId="0" applyFont="1" applyFill="1" applyBorder="1" applyAlignment="1">
      <alignment horizontal="center" wrapText="1"/>
    </xf>
    <xf numFmtId="0" fontId="4" fillId="7" borderId="0" xfId="0" applyFont="1" applyFill="1" applyBorder="1" applyAlignment="1">
      <alignment horizontal="right" wrapText="1"/>
    </xf>
    <xf numFmtId="0" fontId="0" fillId="7" borderId="0" xfId="0" applyFill="1"/>
    <xf numFmtId="0" fontId="3" fillId="3" borderId="0" xfId="0" applyFont="1" applyFill="1" applyBorder="1" applyAlignment="1">
      <alignment wrapText="1"/>
    </xf>
    <xf numFmtId="0" fontId="3" fillId="3" borderId="0" xfId="0" applyFont="1" applyFill="1" applyAlignment="1">
      <alignment wrapText="1"/>
    </xf>
    <xf numFmtId="3" fontId="4" fillId="0" borderId="0" xfId="0" applyNumberFormat="1" applyFont="1" applyFill="1" applyBorder="1" applyAlignment="1">
      <alignment horizontal="center" vertical="center" wrapText="1"/>
    </xf>
    <xf numFmtId="166" fontId="3" fillId="0" borderId="17" xfId="0" applyNumberFormat="1" applyFont="1" applyBorder="1" applyAlignment="1">
      <alignment horizontal="center"/>
    </xf>
    <xf numFmtId="3" fontId="0" fillId="0" borderId="0" xfId="0" applyNumberFormat="1" applyFill="1" applyBorder="1" applyAlignment="1">
      <alignment horizontal="right"/>
    </xf>
    <xf numFmtId="6" fontId="0" fillId="0" borderId="0" xfId="0" applyNumberFormat="1"/>
    <xf numFmtId="8" fontId="0" fillId="0" borderId="0" xfId="0" applyNumberFormat="1"/>
    <xf numFmtId="166" fontId="0" fillId="0" borderId="0" xfId="0" applyNumberFormat="1" applyFill="1" applyBorder="1" applyAlignment="1">
      <alignment horizontal="right"/>
    </xf>
    <xf numFmtId="3" fontId="3" fillId="0" borderId="0" xfId="0" applyNumberFormat="1" applyFont="1" applyAlignment="1">
      <alignment wrapText="1"/>
    </xf>
    <xf numFmtId="0" fontId="3" fillId="0" borderId="0" xfId="0" applyNumberFormat="1" applyFont="1" applyFill="1" applyAlignment="1">
      <alignment horizontal="center" wrapText="1"/>
    </xf>
    <xf numFmtId="0" fontId="4" fillId="10" borderId="0" xfId="0" applyFont="1" applyFill="1"/>
    <xf numFmtId="0" fontId="4" fillId="10" borderId="0" xfId="0" applyNumberFormat="1" applyFont="1" applyFill="1"/>
    <xf numFmtId="3" fontId="0" fillId="0" borderId="0" xfId="0" applyNumberFormat="1" applyAlignment="1">
      <alignment horizontal="center"/>
    </xf>
    <xf numFmtId="3" fontId="0" fillId="4" borderId="0" xfId="0" applyNumberFormat="1" applyFill="1"/>
    <xf numFmtId="3" fontId="3" fillId="0" borderId="1" xfId="0" applyNumberFormat="1" applyFont="1" applyBorder="1"/>
    <xf numFmtId="0" fontId="3" fillId="0" borderId="2" xfId="0" applyFont="1" applyBorder="1"/>
    <xf numFmtId="0" fontId="3" fillId="0" borderId="19" xfId="0" applyFont="1" applyBorder="1"/>
    <xf numFmtId="167" fontId="3" fillId="0" borderId="19" xfId="0" applyNumberFormat="1" applyFont="1" applyBorder="1" applyAlignment="1">
      <alignment horizontal="center" wrapText="1"/>
    </xf>
    <xf numFmtId="0" fontId="3" fillId="0" borderId="19" xfId="0" applyFont="1" applyBorder="1" applyAlignment="1">
      <alignment horizontal="center" wrapText="1"/>
    </xf>
    <xf numFmtId="0" fontId="0" fillId="0" borderId="0" xfId="0" applyFill="1" applyBorder="1" applyAlignment="1">
      <alignment horizontal="center"/>
    </xf>
    <xf numFmtId="0" fontId="3" fillId="0" borderId="21" xfId="0" applyFont="1" applyBorder="1" applyAlignment="1">
      <alignment horizontal="center" wrapText="1"/>
    </xf>
    <xf numFmtId="0" fontId="3" fillId="0" borderId="8" xfId="0" applyFont="1" applyBorder="1"/>
    <xf numFmtId="0" fontId="3" fillId="0" borderId="24" xfId="0" applyFont="1" applyBorder="1" applyAlignment="1">
      <alignment horizontal="left" vertical="center"/>
    </xf>
    <xf numFmtId="0" fontId="3" fillId="0" borderId="26" xfId="0" applyFont="1" applyBorder="1" applyAlignment="1">
      <alignment vertical="center" wrapText="1"/>
    </xf>
    <xf numFmtId="0" fontId="3" fillId="0" borderId="24" xfId="0" applyFont="1" applyBorder="1"/>
    <xf numFmtId="0" fontId="0" fillId="0" borderId="16" xfId="0" applyBorder="1"/>
    <xf numFmtId="0" fontId="12" fillId="0" borderId="0" xfId="0" applyFont="1" applyBorder="1"/>
    <xf numFmtId="0" fontId="0" fillId="0" borderId="4" xfId="0" applyBorder="1" applyAlignment="1">
      <alignment horizontal="left" wrapText="1"/>
    </xf>
    <xf numFmtId="0" fontId="0" fillId="0" borderId="1" xfId="0" applyBorder="1"/>
    <xf numFmtId="0" fontId="0" fillId="8" borderId="4" xfId="0" applyFill="1" applyBorder="1"/>
    <xf numFmtId="0" fontId="0" fillId="0" borderId="1" xfId="0" applyBorder="1" applyAlignment="1">
      <alignment horizontal="left" wrapText="1"/>
    </xf>
    <xf numFmtId="0" fontId="0" fillId="8" borderId="28" xfId="0" applyFill="1" applyBorder="1"/>
    <xf numFmtId="166" fontId="0" fillId="8" borderId="29" xfId="0" applyNumberFormat="1" applyFill="1" applyBorder="1" applyAlignment="1"/>
    <xf numFmtId="0" fontId="0" fillId="0" borderId="15" xfId="0" applyBorder="1"/>
    <xf numFmtId="0" fontId="0" fillId="10" borderId="31" xfId="0" applyFill="1" applyBorder="1" applyAlignment="1">
      <alignment horizontal="center"/>
    </xf>
    <xf numFmtId="3" fontId="3" fillId="10" borderId="31" xfId="0" applyNumberFormat="1" applyFont="1" applyFill="1" applyBorder="1" applyAlignment="1">
      <alignment horizontal="center"/>
    </xf>
    <xf numFmtId="0" fontId="3" fillId="10" borderId="19" xfId="0" applyFont="1" applyFill="1" applyBorder="1" applyAlignment="1">
      <alignment horizontal="center"/>
    </xf>
    <xf numFmtId="0" fontId="3" fillId="0" borderId="19" xfId="0" applyFont="1" applyFill="1" applyBorder="1" applyAlignment="1">
      <alignment horizontal="left" wrapText="1"/>
    </xf>
    <xf numFmtId="0" fontId="3" fillId="0" borderId="31" xfId="0" applyFont="1" applyFill="1" applyBorder="1" applyAlignment="1">
      <alignment horizontal="right"/>
    </xf>
    <xf numFmtId="0" fontId="0" fillId="0" borderId="31" xfId="0" applyFill="1" applyBorder="1" applyAlignment="1">
      <alignment horizontal="right"/>
    </xf>
    <xf numFmtId="166" fontId="4" fillId="4" borderId="31" xfId="0" applyNumberFormat="1" applyFont="1" applyFill="1" applyBorder="1" applyAlignment="1">
      <alignment horizontal="right"/>
    </xf>
    <xf numFmtId="166" fontId="4" fillId="4" borderId="32" xfId="0" applyNumberFormat="1" applyFont="1" applyFill="1" applyBorder="1" applyAlignment="1">
      <alignment horizontal="right"/>
    </xf>
    <xf numFmtId="166" fontId="3" fillId="0" borderId="33" xfId="0" applyNumberFormat="1" applyFont="1" applyBorder="1" applyAlignment="1">
      <alignment horizontal="right"/>
    </xf>
    <xf numFmtId="166" fontId="7" fillId="0" borderId="31" xfId="0" applyNumberFormat="1" applyFont="1" applyFill="1" applyBorder="1" applyAlignment="1">
      <alignment horizontal="right"/>
    </xf>
    <xf numFmtId="3" fontId="0" fillId="0" borderId="2" xfId="0" applyNumberFormat="1" applyBorder="1" applyAlignment="1">
      <alignment horizontal="right"/>
    </xf>
    <xf numFmtId="0" fontId="3" fillId="0" borderId="2" xfId="0" applyFont="1" applyBorder="1" applyAlignment="1">
      <alignment horizontal="right"/>
    </xf>
    <xf numFmtId="0" fontId="0" fillId="0" borderId="0" xfId="0" applyFill="1" applyBorder="1" applyAlignment="1">
      <alignment horizontal="right"/>
    </xf>
    <xf numFmtId="3" fontId="4" fillId="0" borderId="31" xfId="0" applyNumberFormat="1" applyFont="1" applyFill="1" applyBorder="1" applyAlignment="1">
      <alignment horizontal="right"/>
    </xf>
    <xf numFmtId="0" fontId="3" fillId="0" borderId="0" xfId="0" applyNumberFormat="1" applyFont="1"/>
    <xf numFmtId="0" fontId="0" fillId="10" borderId="31" xfId="0" applyNumberFormat="1" applyFill="1" applyBorder="1" applyAlignment="1">
      <alignment horizontal="center"/>
    </xf>
    <xf numFmtId="0" fontId="3" fillId="0" borderId="31" xfId="0" applyNumberFormat="1" applyFont="1" applyFill="1" applyBorder="1" applyAlignment="1">
      <alignment horizontal="right"/>
    </xf>
    <xf numFmtId="0" fontId="0" fillId="0" borderId="0" xfId="0" applyNumberFormat="1" applyFill="1" applyBorder="1"/>
    <xf numFmtId="0" fontId="3" fillId="0" borderId="31" xfId="0" applyNumberFormat="1" applyFont="1" applyFill="1" applyBorder="1" applyAlignment="1">
      <alignment horizontal="right" wrapText="1"/>
    </xf>
    <xf numFmtId="0" fontId="1" fillId="0" borderId="0" xfId="10"/>
    <xf numFmtId="0" fontId="1" fillId="0" borderId="0" xfId="10" applyAlignment="1">
      <alignment horizontal="center"/>
    </xf>
    <xf numFmtId="0" fontId="1" fillId="0" borderId="0" xfId="10" applyAlignment="1">
      <alignment wrapText="1"/>
    </xf>
    <xf numFmtId="1" fontId="3" fillId="0" borderId="0" xfId="12" applyNumberFormat="1" applyFont="1" applyFill="1" applyAlignment="1" applyProtection="1">
      <alignment horizontal="left" wrapText="1"/>
    </xf>
    <xf numFmtId="0" fontId="3" fillId="0" borderId="0" xfId="10" applyFont="1"/>
    <xf numFmtId="1" fontId="3" fillId="0" borderId="0" xfId="10" applyNumberFormat="1" applyFont="1"/>
    <xf numFmtId="0" fontId="1" fillId="0" borderId="0" xfId="10" applyNumberFormat="1"/>
    <xf numFmtId="170" fontId="1" fillId="0" borderId="0" xfId="10" applyNumberFormat="1"/>
    <xf numFmtId="0" fontId="1" fillId="6" borderId="0" xfId="10" applyFill="1"/>
    <xf numFmtId="170" fontId="3" fillId="0" borderId="0" xfId="10" applyNumberFormat="1" applyFont="1"/>
    <xf numFmtId="0" fontId="19" fillId="0" borderId="0" xfId="13" applyNumberFormat="1" applyFont="1" applyFill="1" applyBorder="1" applyAlignment="1" applyProtection="1"/>
    <xf numFmtId="1" fontId="1" fillId="0" borderId="0" xfId="10" applyNumberFormat="1"/>
    <xf numFmtId="0" fontId="1" fillId="0" borderId="0" xfId="10" applyFont="1"/>
    <xf numFmtId="170" fontId="3" fillId="0" borderId="17" xfId="10" applyNumberFormat="1" applyFont="1" applyBorder="1"/>
    <xf numFmtId="3" fontId="0" fillId="0" borderId="31" xfId="0" applyNumberFormat="1" applyFill="1" applyBorder="1" applyAlignment="1">
      <alignment horizontal="right"/>
    </xf>
    <xf numFmtId="4" fontId="3" fillId="10" borderId="31" xfId="0" applyNumberFormat="1" applyFont="1" applyFill="1" applyBorder="1" applyAlignment="1">
      <alignment horizontal="center"/>
    </xf>
    <xf numFmtId="3" fontId="3" fillId="10" borderId="2" xfId="0" applyNumberFormat="1" applyFont="1" applyFill="1" applyBorder="1" applyAlignment="1">
      <alignment horizontal="center"/>
    </xf>
    <xf numFmtId="3" fontId="4" fillId="0" borderId="2" xfId="0" applyNumberFormat="1" applyFont="1" applyFill="1" applyBorder="1" applyAlignment="1">
      <alignment horizontal="right"/>
    </xf>
    <xf numFmtId="3" fontId="3" fillId="0" borderId="2" xfId="0" applyNumberFormat="1" applyFont="1" applyFill="1" applyBorder="1" applyAlignment="1">
      <alignment horizontal="right"/>
    </xf>
    <xf numFmtId="0" fontId="4" fillId="0" borderId="31" xfId="0" applyNumberFormat="1" applyFont="1" applyFill="1" applyBorder="1" applyAlignment="1">
      <alignment horizontal="right"/>
    </xf>
    <xf numFmtId="0" fontId="4" fillId="0" borderId="31" xfId="0" applyNumberFormat="1" applyFont="1" applyFill="1" applyBorder="1" applyAlignment="1">
      <alignment horizontal="right" wrapText="1"/>
    </xf>
    <xf numFmtId="0" fontId="4" fillId="0" borderId="34" xfId="0" applyNumberFormat="1" applyFont="1" applyFill="1" applyBorder="1" applyAlignment="1">
      <alignment horizontal="right"/>
    </xf>
    <xf numFmtId="0" fontId="3" fillId="0" borderId="34" xfId="0" applyFont="1" applyFill="1" applyBorder="1" applyAlignment="1">
      <alignment horizontal="right"/>
    </xf>
    <xf numFmtId="0" fontId="3" fillId="0" borderId="34" xfId="0" applyNumberFormat="1" applyFont="1" applyFill="1" applyBorder="1" applyAlignment="1">
      <alignment horizontal="right"/>
    </xf>
    <xf numFmtId="3" fontId="3" fillId="0" borderId="3" xfId="0" applyNumberFormat="1" applyFont="1" applyFill="1" applyBorder="1" applyAlignment="1">
      <alignment horizontal="right"/>
    </xf>
    <xf numFmtId="3" fontId="4" fillId="0" borderId="34" xfId="0" applyNumberFormat="1" applyFont="1" applyFill="1" applyBorder="1" applyAlignment="1">
      <alignment horizontal="right"/>
    </xf>
    <xf numFmtId="0" fontId="0" fillId="0" borderId="34" xfId="0" applyFill="1" applyBorder="1" applyAlignment="1">
      <alignment horizontal="right"/>
    </xf>
    <xf numFmtId="0" fontId="3" fillId="0" borderId="34" xfId="0" applyFont="1" applyFill="1" applyBorder="1" applyAlignment="1">
      <alignment horizontal="right" wrapText="1"/>
    </xf>
    <xf numFmtId="166" fontId="4" fillId="4" borderId="34" xfId="0" applyNumberFormat="1" applyFont="1" applyFill="1" applyBorder="1" applyAlignment="1">
      <alignment horizontal="right"/>
    </xf>
    <xf numFmtId="166" fontId="4" fillId="4" borderId="35" xfId="0" applyNumberFormat="1" applyFont="1" applyFill="1" applyBorder="1" applyAlignment="1">
      <alignment horizontal="right"/>
    </xf>
    <xf numFmtId="166" fontId="3" fillId="0" borderId="6" xfId="0" applyNumberFormat="1" applyFont="1" applyBorder="1" applyAlignment="1">
      <alignment horizontal="right"/>
    </xf>
    <xf numFmtId="166" fontId="7" fillId="0" borderId="34" xfId="0" applyNumberFormat="1" applyFont="1" applyFill="1" applyBorder="1" applyAlignment="1">
      <alignment horizontal="right"/>
    </xf>
    <xf numFmtId="3" fontId="0" fillId="0" borderId="34" xfId="0" applyNumberFormat="1" applyBorder="1" applyAlignment="1">
      <alignment horizontal="right"/>
    </xf>
    <xf numFmtId="3" fontId="0" fillId="0" borderId="3" xfId="0" applyNumberFormat="1" applyBorder="1" applyAlignment="1">
      <alignment horizontal="right"/>
    </xf>
    <xf numFmtId="0" fontId="3" fillId="0" borderId="3" xfId="0" applyFont="1" applyBorder="1" applyAlignment="1">
      <alignment horizontal="right"/>
    </xf>
    <xf numFmtId="0" fontId="0" fillId="0" borderId="34" xfId="0" applyBorder="1" applyAlignment="1">
      <alignment horizontal="right"/>
    </xf>
    <xf numFmtId="4" fontId="3" fillId="10" borderId="33" xfId="0" applyNumberFormat="1" applyFont="1" applyFill="1" applyBorder="1" applyAlignment="1">
      <alignment horizontal="center"/>
    </xf>
    <xf numFmtId="3" fontId="4" fillId="0" borderId="0" xfId="0" applyNumberFormat="1" applyFont="1" applyBorder="1" applyAlignment="1">
      <alignment horizontal="right"/>
    </xf>
    <xf numFmtId="3" fontId="4" fillId="10" borderId="31" xfId="0" applyNumberFormat="1" applyFont="1" applyFill="1" applyBorder="1" applyAlignment="1">
      <alignment horizontal="center"/>
    </xf>
    <xf numFmtId="0" fontId="4" fillId="0" borderId="0" xfId="0" applyFont="1" applyFill="1"/>
    <xf numFmtId="0" fontId="3" fillId="4" borderId="1" xfId="0" applyFont="1" applyFill="1" applyBorder="1" applyAlignment="1">
      <alignment wrapText="1"/>
    </xf>
    <xf numFmtId="0" fontId="4" fillId="5" borderId="0" xfId="0" applyFont="1" applyFill="1"/>
    <xf numFmtId="3" fontId="4" fillId="5" borderId="31" xfId="0" applyNumberFormat="1" applyFont="1" applyFill="1" applyBorder="1" applyAlignment="1">
      <alignment horizontal="center"/>
    </xf>
    <xf numFmtId="3" fontId="3" fillId="9" borderId="0" xfId="0" applyNumberFormat="1" applyFont="1" applyFill="1"/>
    <xf numFmtId="3" fontId="3" fillId="9" borderId="34" xfId="0" applyNumberFormat="1" applyFont="1" applyFill="1" applyBorder="1" applyAlignment="1">
      <alignment horizontal="right"/>
    </xf>
    <xf numFmtId="3" fontId="3" fillId="10" borderId="4" xfId="0" applyNumberFormat="1" applyFont="1" applyFill="1" applyBorder="1" applyAlignment="1">
      <alignment horizontal="center"/>
    </xf>
    <xf numFmtId="3" fontId="3" fillId="0" borderId="0" xfId="0" applyNumberFormat="1" applyFont="1" applyFill="1" applyBorder="1" applyAlignment="1">
      <alignment horizontal="center"/>
    </xf>
    <xf numFmtId="3" fontId="4" fillId="0" borderId="19" xfId="0" applyNumberFormat="1" applyFont="1" applyFill="1" applyBorder="1" applyAlignment="1">
      <alignment horizontal="right"/>
    </xf>
    <xf numFmtId="3" fontId="4" fillId="0" borderId="33" xfId="0" applyNumberFormat="1" applyFont="1" applyFill="1" applyBorder="1" applyAlignment="1">
      <alignment horizontal="right"/>
    </xf>
    <xf numFmtId="3" fontId="4" fillId="12" borderId="2" xfId="0" applyNumberFormat="1" applyFont="1" applyFill="1" applyBorder="1" applyAlignment="1">
      <alignment horizontal="center"/>
    </xf>
    <xf numFmtId="0" fontId="3" fillId="0" borderId="0" xfId="0" applyFont="1" applyFill="1" applyBorder="1" applyAlignment="1">
      <alignment horizontal="right"/>
    </xf>
    <xf numFmtId="3" fontId="0" fillId="0" borderId="0" xfId="0" applyNumberFormat="1" applyFill="1" applyBorder="1" applyAlignment="1"/>
    <xf numFmtId="3" fontId="3" fillId="0" borderId="17" xfId="0" applyNumberFormat="1" applyFont="1" applyFill="1" applyBorder="1" applyAlignment="1"/>
    <xf numFmtId="3" fontId="4" fillId="0" borderId="0" xfId="0" applyNumberFormat="1" applyFont="1" applyFill="1"/>
    <xf numFmtId="1" fontId="3" fillId="5" borderId="0" xfId="12" applyNumberFormat="1" applyFont="1" applyFill="1" applyAlignment="1" applyProtection="1">
      <alignment horizontal="left" wrapText="1"/>
    </xf>
    <xf numFmtId="0" fontId="4" fillId="6" borderId="0" xfId="0" applyNumberFormat="1" applyFont="1" applyFill="1"/>
    <xf numFmtId="1" fontId="4" fillId="6" borderId="0" xfId="0" applyNumberFormat="1" applyFont="1" applyFill="1"/>
    <xf numFmtId="0" fontId="4" fillId="14" borderId="0" xfId="0" applyFont="1" applyFill="1"/>
    <xf numFmtId="0" fontId="4" fillId="14" borderId="0" xfId="0" applyNumberFormat="1" applyFont="1" applyFill="1"/>
    <xf numFmtId="0" fontId="0" fillId="0" borderId="0" xfId="0" applyFill="1" applyAlignment="1">
      <alignment wrapText="1"/>
    </xf>
    <xf numFmtId="1" fontId="0" fillId="0" borderId="0" xfId="0" applyNumberFormat="1" applyFill="1"/>
    <xf numFmtId="0" fontId="0" fillId="15" borderId="0" xfId="0" applyFill="1" applyAlignment="1">
      <alignment wrapText="1"/>
    </xf>
    <xf numFmtId="0" fontId="0" fillId="15" borderId="0" xfId="0" applyFill="1"/>
    <xf numFmtId="1" fontId="0" fillId="15" borderId="0" xfId="0" applyNumberFormat="1" applyFill="1"/>
    <xf numFmtId="0" fontId="0" fillId="3" borderId="0" xfId="0" applyFill="1" applyAlignment="1">
      <alignment horizontal="center" wrapText="1"/>
    </xf>
    <xf numFmtId="3" fontId="0" fillId="15" borderId="0" xfId="0" applyNumberFormat="1" applyFill="1" applyAlignment="1">
      <alignment horizontal="center"/>
    </xf>
    <xf numFmtId="6" fontId="0" fillId="0" borderId="0" xfId="0" applyNumberFormat="1" applyFill="1"/>
    <xf numFmtId="0" fontId="4" fillId="0" borderId="0" xfId="9" applyBorder="1"/>
    <xf numFmtId="170" fontId="4" fillId="0" borderId="0" xfId="9" applyNumberFormat="1" applyBorder="1"/>
    <xf numFmtId="1" fontId="4" fillId="0" borderId="0" xfId="9" applyNumberFormat="1" applyBorder="1"/>
    <xf numFmtId="3" fontId="4" fillId="0" borderId="0" xfId="9" applyNumberFormat="1" applyBorder="1"/>
    <xf numFmtId="0" fontId="3" fillId="0" borderId="0" xfId="9" applyFont="1" applyBorder="1"/>
    <xf numFmtId="0" fontId="4" fillId="0" borderId="0" xfId="9" applyBorder="1" applyAlignment="1">
      <alignment horizontal="right"/>
    </xf>
    <xf numFmtId="0" fontId="4" fillId="0" borderId="0" xfId="9" applyFill="1" applyBorder="1" applyAlignment="1">
      <alignment horizontal="right"/>
    </xf>
    <xf numFmtId="0" fontId="20" fillId="0" borderId="0" xfId="9" applyFont="1" applyFill="1" applyBorder="1" applyAlignment="1">
      <alignment horizontal="right"/>
    </xf>
    <xf numFmtId="170" fontId="20" fillId="0" borderId="0" xfId="9" applyNumberFormat="1" applyFont="1" applyFill="1" applyBorder="1" applyAlignment="1">
      <alignment horizontal="right"/>
    </xf>
    <xf numFmtId="0" fontId="11" fillId="0" borderId="0" xfId="9" applyFont="1" applyFill="1" applyBorder="1" applyAlignment="1">
      <alignment horizontal="right"/>
    </xf>
    <xf numFmtId="0" fontId="21" fillId="0" borderId="0" xfId="9" applyFont="1" applyFill="1" applyBorder="1" applyAlignment="1">
      <alignment horizontal="right"/>
    </xf>
    <xf numFmtId="1" fontId="11" fillId="0" borderId="0" xfId="9" applyNumberFormat="1" applyFont="1" applyFill="1" applyBorder="1" applyAlignment="1">
      <alignment horizontal="right"/>
    </xf>
    <xf numFmtId="3" fontId="11" fillId="0" borderId="0" xfId="9" applyNumberFormat="1" applyFont="1" applyFill="1" applyBorder="1" applyAlignment="1">
      <alignment horizontal="right"/>
    </xf>
    <xf numFmtId="0" fontId="11" fillId="0" borderId="0" xfId="9" quotePrefix="1" applyFont="1" applyFill="1" applyBorder="1" applyAlignment="1">
      <alignment horizontal="right"/>
    </xf>
    <xf numFmtId="170" fontId="11" fillId="0" borderId="0" xfId="9" applyNumberFormat="1" applyFont="1" applyFill="1" applyBorder="1" applyAlignment="1">
      <alignment horizontal="right"/>
    </xf>
    <xf numFmtId="3" fontId="21" fillId="0" borderId="0" xfId="9" applyNumberFormat="1" applyFont="1" applyFill="1" applyBorder="1" applyAlignment="1">
      <alignment horizontal="right"/>
    </xf>
    <xf numFmtId="3" fontId="11" fillId="0" borderId="0" xfId="9" applyNumberFormat="1" applyFont="1" applyFill="1" applyBorder="1" applyAlignment="1">
      <alignment horizontal="left"/>
    </xf>
    <xf numFmtId="170" fontId="22" fillId="0" borderId="0" xfId="9" applyNumberFormat="1" applyFont="1" applyFill="1" applyBorder="1" applyAlignment="1">
      <alignment horizontal="right"/>
    </xf>
    <xf numFmtId="0" fontId="23" fillId="0" borderId="0" xfId="9" applyFont="1" applyFill="1" applyBorder="1" applyAlignment="1">
      <alignment horizontal="right"/>
    </xf>
    <xf numFmtId="0" fontId="24" fillId="0" borderId="0" xfId="9" applyFont="1" applyFill="1" applyBorder="1" applyAlignment="1">
      <alignment horizontal="right"/>
    </xf>
    <xf numFmtId="0" fontId="3" fillId="0" borderId="0" xfId="9" applyFont="1"/>
    <xf numFmtId="0" fontId="4" fillId="0" borderId="0" xfId="9"/>
    <xf numFmtId="170" fontId="4" fillId="0" borderId="0" xfId="9" applyNumberFormat="1"/>
    <xf numFmtId="1" fontId="4" fillId="0" borderId="0" xfId="9" applyNumberFormat="1"/>
    <xf numFmtId="3" fontId="4" fillId="0" borderId="0" xfId="9" applyNumberFormat="1"/>
    <xf numFmtId="0" fontId="3" fillId="0" borderId="0" xfId="9" applyFont="1" applyFill="1" applyAlignment="1">
      <alignment horizontal="center"/>
    </xf>
    <xf numFmtId="3" fontId="4" fillId="0" borderId="0" xfId="9" applyNumberFormat="1" applyFill="1"/>
    <xf numFmtId="0" fontId="4" fillId="0" borderId="0" xfId="9" applyFill="1"/>
    <xf numFmtId="170" fontId="4" fillId="0" borderId="0" xfId="9" applyNumberFormat="1" applyFill="1"/>
    <xf numFmtId="0" fontId="3" fillId="8" borderId="0" xfId="9" applyFont="1" applyFill="1"/>
    <xf numFmtId="1" fontId="4" fillId="0" borderId="0" xfId="9" applyNumberFormat="1" applyFill="1"/>
    <xf numFmtId="0" fontId="4" fillId="0" borderId="15" xfId="9" applyFill="1" applyBorder="1"/>
    <xf numFmtId="0" fontId="3" fillId="3" borderId="0" xfId="9" applyFont="1" applyFill="1"/>
    <xf numFmtId="0" fontId="11" fillId="0" borderId="0" xfId="9" applyFont="1" applyFill="1"/>
    <xf numFmtId="0" fontId="11" fillId="0" borderId="0" xfId="9" applyFont="1"/>
    <xf numFmtId="0" fontId="11" fillId="16" borderId="5" xfId="9" applyFont="1" applyFill="1" applyBorder="1"/>
    <xf numFmtId="0" fontId="11" fillId="16" borderId="37" xfId="9" applyFont="1" applyFill="1" applyBorder="1"/>
    <xf numFmtId="0" fontId="25" fillId="16" borderId="37" xfId="9" applyFont="1" applyFill="1" applyBorder="1"/>
    <xf numFmtId="3" fontId="25" fillId="16" borderId="37" xfId="3" applyNumberFormat="1" applyFont="1" applyFill="1" applyBorder="1" applyAlignment="1">
      <alignment vertical="center"/>
    </xf>
    <xf numFmtId="0" fontId="25" fillId="3" borderId="37" xfId="9" applyFont="1" applyFill="1" applyBorder="1"/>
    <xf numFmtId="0" fontId="25" fillId="16" borderId="5" xfId="9" applyFont="1" applyFill="1" applyBorder="1" applyAlignment="1">
      <alignment vertical="center"/>
    </xf>
    <xf numFmtId="0" fontId="25" fillId="16" borderId="37" xfId="9" applyFont="1" applyFill="1" applyBorder="1" applyAlignment="1">
      <alignment vertical="center"/>
    </xf>
    <xf numFmtId="170" fontId="25" fillId="3" borderId="38" xfId="9" applyNumberFormat="1" applyFont="1" applyFill="1" applyBorder="1" applyAlignment="1">
      <alignment vertical="center"/>
    </xf>
    <xf numFmtId="0" fontId="25" fillId="16" borderId="38" xfId="9" applyFont="1" applyFill="1" applyBorder="1" applyAlignment="1">
      <alignment vertical="center"/>
    </xf>
    <xf numFmtId="0" fontId="25" fillId="16" borderId="19" xfId="9" applyFont="1" applyFill="1" applyBorder="1" applyAlignment="1">
      <alignment vertical="center"/>
    </xf>
    <xf numFmtId="0" fontId="25" fillId="0" borderId="37" xfId="9" applyFont="1" applyFill="1" applyBorder="1" applyAlignment="1">
      <alignment vertical="center"/>
    </xf>
    <xf numFmtId="0" fontId="25" fillId="0" borderId="5" xfId="9" applyFont="1" applyFill="1" applyBorder="1" applyAlignment="1">
      <alignment vertical="center"/>
    </xf>
    <xf numFmtId="0" fontId="25" fillId="3" borderId="5" xfId="9" applyFont="1" applyFill="1" applyBorder="1" applyAlignment="1">
      <alignment vertical="center"/>
    </xf>
    <xf numFmtId="0" fontId="25" fillId="3" borderId="38" xfId="9" applyFont="1" applyFill="1" applyBorder="1" applyAlignment="1">
      <alignment vertical="center"/>
    </xf>
    <xf numFmtId="1" fontId="25" fillId="3" borderId="37" xfId="9" applyNumberFormat="1" applyFont="1" applyFill="1" applyBorder="1" applyAlignment="1">
      <alignment vertical="center"/>
    </xf>
    <xf numFmtId="3" fontId="25" fillId="16" borderId="37" xfId="9" applyNumberFormat="1" applyFont="1" applyFill="1" applyBorder="1" applyAlignment="1">
      <alignment vertical="center"/>
    </xf>
    <xf numFmtId="0" fontId="11" fillId="0" borderId="37" xfId="9" applyFont="1" applyFill="1" applyBorder="1" applyAlignment="1">
      <alignment vertical="center"/>
    </xf>
    <xf numFmtId="0" fontId="25" fillId="0" borderId="38" xfId="9" applyFont="1" applyFill="1" applyBorder="1" applyAlignment="1">
      <alignment vertical="center"/>
    </xf>
    <xf numFmtId="0" fontId="26" fillId="16" borderId="37" xfId="9" applyFont="1" applyFill="1" applyBorder="1" applyAlignment="1">
      <alignment horizontal="center"/>
    </xf>
    <xf numFmtId="0" fontId="27" fillId="16" borderId="37" xfId="9" applyFont="1" applyFill="1" applyBorder="1" applyAlignment="1">
      <alignment vertical="center"/>
    </xf>
    <xf numFmtId="0" fontId="26" fillId="0" borderId="5" xfId="9" applyFont="1" applyFill="1" applyBorder="1" applyAlignment="1">
      <alignment horizontal="center" vertical="center"/>
    </xf>
    <xf numFmtId="0" fontId="11" fillId="3" borderId="5" xfId="9" applyFont="1" applyFill="1" applyBorder="1"/>
    <xf numFmtId="0" fontId="11" fillId="3" borderId="38" xfId="9" applyFont="1" applyFill="1" applyBorder="1"/>
    <xf numFmtId="0" fontId="11" fillId="0" borderId="5" xfId="9" applyFont="1" applyFill="1" applyBorder="1"/>
    <xf numFmtId="0" fontId="11" fillId="16" borderId="38" xfId="9" applyFont="1" applyFill="1" applyBorder="1"/>
    <xf numFmtId="0" fontId="11" fillId="16" borderId="19" xfId="9" applyFont="1" applyFill="1" applyBorder="1"/>
    <xf numFmtId="0" fontId="11" fillId="0" borderId="37" xfId="9" applyFont="1" applyFill="1" applyBorder="1"/>
    <xf numFmtId="0" fontId="28" fillId="16" borderId="37" xfId="9" applyFont="1" applyFill="1" applyBorder="1" applyAlignment="1">
      <alignment vertical="center"/>
    </xf>
    <xf numFmtId="0" fontId="28" fillId="0" borderId="37" xfId="9" applyFont="1" applyFill="1" applyBorder="1" applyAlignment="1">
      <alignment vertical="center"/>
    </xf>
    <xf numFmtId="0" fontId="28" fillId="16" borderId="38" xfId="9" applyFont="1" applyFill="1" applyBorder="1" applyAlignment="1">
      <alignment vertical="center"/>
    </xf>
    <xf numFmtId="0" fontId="29" fillId="16" borderId="5" xfId="9" applyFont="1" applyFill="1" applyBorder="1" applyAlignment="1">
      <alignment horizontal="center"/>
    </xf>
    <xf numFmtId="0" fontId="28" fillId="16" borderId="37" xfId="9" applyFont="1" applyFill="1" applyBorder="1"/>
    <xf numFmtId="170" fontId="25" fillId="16" borderId="5" xfId="9" applyNumberFormat="1" applyFont="1" applyFill="1" applyBorder="1" applyAlignment="1">
      <alignment vertical="center"/>
    </xf>
    <xf numFmtId="0" fontId="25" fillId="0" borderId="19" xfId="9" applyFont="1" applyFill="1" applyBorder="1" applyAlignment="1">
      <alignment vertical="center"/>
    </xf>
    <xf numFmtId="0" fontId="11" fillId="16" borderId="19" xfId="9" applyFont="1" applyFill="1" applyBorder="1" applyAlignment="1">
      <alignment horizontal="center"/>
    </xf>
    <xf numFmtId="3" fontId="11" fillId="16" borderId="5" xfId="9" applyNumberFormat="1" applyFont="1" applyFill="1" applyBorder="1" applyAlignment="1">
      <alignment horizontal="center"/>
    </xf>
    <xf numFmtId="0" fontId="11" fillId="0" borderId="39" xfId="9" applyFont="1" applyFill="1" applyBorder="1" applyAlignment="1">
      <alignment vertical="center"/>
    </xf>
    <xf numFmtId="0" fontId="28" fillId="16" borderId="19" xfId="9" applyFont="1" applyFill="1" applyBorder="1" applyAlignment="1">
      <alignment vertical="center"/>
    </xf>
    <xf numFmtId="170" fontId="11" fillId="0" borderId="19" xfId="9" applyNumberFormat="1" applyFont="1" applyFill="1" applyBorder="1" applyAlignment="1">
      <alignment horizontal="center"/>
    </xf>
    <xf numFmtId="0" fontId="25" fillId="16" borderId="19" xfId="9" applyFont="1" applyFill="1" applyBorder="1"/>
    <xf numFmtId="0" fontId="25" fillId="4" borderId="19" xfId="9" applyFont="1" applyFill="1" applyBorder="1" applyAlignment="1">
      <alignment horizontal="center"/>
    </xf>
    <xf numFmtId="0" fontId="10" fillId="16" borderId="19" xfId="9" applyFont="1" applyFill="1" applyBorder="1" applyAlignment="1">
      <alignment horizontal="center"/>
    </xf>
    <xf numFmtId="3" fontId="25" fillId="16" borderId="19" xfId="9" applyNumberFormat="1" applyFont="1" applyFill="1" applyBorder="1" applyAlignment="1">
      <alignment vertical="center"/>
    </xf>
    <xf numFmtId="170" fontId="25" fillId="16" borderId="19" xfId="9" applyNumberFormat="1" applyFont="1" applyFill="1" applyBorder="1" applyAlignment="1">
      <alignment vertical="center"/>
    </xf>
    <xf numFmtId="170" fontId="11" fillId="0" borderId="0" xfId="9" applyNumberFormat="1" applyFont="1"/>
    <xf numFmtId="0" fontId="11" fillId="3" borderId="19" xfId="9" applyFont="1" applyFill="1" applyBorder="1" applyAlignment="1">
      <alignment horizontal="center"/>
    </xf>
    <xf numFmtId="170" fontId="11" fillId="3" borderId="19" xfId="9" applyNumberFormat="1" applyFont="1" applyFill="1" applyBorder="1" applyAlignment="1">
      <alignment horizontal="center"/>
    </xf>
    <xf numFmtId="0" fontId="3" fillId="9" borderId="0" xfId="9" applyFont="1" applyFill="1"/>
    <xf numFmtId="0" fontId="11" fillId="16" borderId="39" xfId="9" applyFont="1" applyFill="1" applyBorder="1"/>
    <xf numFmtId="0" fontId="11" fillId="16" borderId="0" xfId="9" applyFont="1" applyFill="1" applyBorder="1"/>
    <xf numFmtId="0" fontId="25" fillId="16" borderId="0" xfId="9" applyFont="1" applyFill="1" applyBorder="1"/>
    <xf numFmtId="3" fontId="25" fillId="16" borderId="0" xfId="3" applyNumberFormat="1" applyFont="1" applyFill="1" applyBorder="1" applyAlignment="1">
      <alignment vertical="center"/>
    </xf>
    <xf numFmtId="0" fontId="25" fillId="3" borderId="0" xfId="9" applyFont="1" applyFill="1" applyBorder="1" applyAlignment="1">
      <alignment horizontal="center"/>
    </xf>
    <xf numFmtId="0" fontId="25" fillId="16" borderId="0" xfId="9" applyFont="1" applyFill="1" applyBorder="1" applyAlignment="1">
      <alignment horizontal="center"/>
    </xf>
    <xf numFmtId="3" fontId="25" fillId="16" borderId="0" xfId="3" applyNumberFormat="1" applyFont="1" applyFill="1" applyBorder="1" applyAlignment="1">
      <alignment horizontal="center" vertical="center"/>
    </xf>
    <xf numFmtId="0" fontId="25" fillId="16" borderId="39" xfId="9" applyFont="1" applyFill="1" applyBorder="1" applyAlignment="1">
      <alignment horizontal="center" vertical="center"/>
    </xf>
    <xf numFmtId="0" fontId="25" fillId="16" borderId="0" xfId="9" applyFont="1" applyFill="1" applyBorder="1" applyAlignment="1">
      <alignment horizontal="center" vertical="center"/>
    </xf>
    <xf numFmtId="170" fontId="25" fillId="3" borderId="34" xfId="9" applyNumberFormat="1" applyFont="1" applyFill="1" applyBorder="1" applyAlignment="1">
      <alignment horizontal="center" vertical="center"/>
    </xf>
    <xf numFmtId="0" fontId="11" fillId="16" borderId="0" xfId="9" applyFont="1" applyFill="1" applyBorder="1" applyAlignment="1">
      <alignment horizontal="center"/>
    </xf>
    <xf numFmtId="0" fontId="11" fillId="16" borderId="34" xfId="9" applyFont="1" applyFill="1" applyBorder="1" applyAlignment="1">
      <alignment horizontal="center"/>
    </xf>
    <xf numFmtId="0" fontId="25" fillId="16" borderId="31" xfId="9" applyFont="1" applyFill="1" applyBorder="1" applyAlignment="1">
      <alignment horizontal="center" vertical="center"/>
    </xf>
    <xf numFmtId="0" fontId="11" fillId="0" borderId="0" xfId="9" applyFont="1" applyFill="1" applyBorder="1" applyAlignment="1">
      <alignment horizontal="center" vertical="center"/>
    </xf>
    <xf numFmtId="0" fontId="11" fillId="16" borderId="34" xfId="9" applyFont="1" applyFill="1" applyBorder="1" applyAlignment="1">
      <alignment horizontal="center" vertical="center"/>
    </xf>
    <xf numFmtId="0" fontId="11" fillId="0" borderId="39" xfId="9" applyFont="1" applyFill="1" applyBorder="1" applyAlignment="1">
      <alignment horizontal="center" vertical="center"/>
    </xf>
    <xf numFmtId="0" fontId="11" fillId="16" borderId="34" xfId="9" applyFont="1" applyFill="1" applyBorder="1" applyAlignment="1">
      <alignment horizontal="left" vertical="center"/>
    </xf>
    <xf numFmtId="0" fontId="11" fillId="3" borderId="39" xfId="9" applyFont="1" applyFill="1" applyBorder="1" applyAlignment="1">
      <alignment vertical="center"/>
    </xf>
    <xf numFmtId="0" fontId="25" fillId="3" borderId="34" xfId="9" applyFont="1" applyFill="1" applyBorder="1" applyAlignment="1">
      <alignment vertical="center"/>
    </xf>
    <xf numFmtId="0" fontId="11" fillId="16" borderId="39" xfId="9" applyFont="1" applyFill="1" applyBorder="1" applyAlignment="1">
      <alignment horizontal="center"/>
    </xf>
    <xf numFmtId="1" fontId="25" fillId="3" borderId="0" xfId="9" applyNumberFormat="1" applyFont="1" applyFill="1" applyBorder="1" applyAlignment="1">
      <alignment vertical="center"/>
    </xf>
    <xf numFmtId="0" fontId="25" fillId="16" borderId="39" xfId="9" applyFont="1" applyFill="1" applyBorder="1" applyAlignment="1">
      <alignment vertical="center"/>
    </xf>
    <xf numFmtId="0" fontId="25" fillId="16" borderId="0" xfId="9" applyFont="1" applyFill="1" applyBorder="1" applyAlignment="1">
      <alignment vertical="center"/>
    </xf>
    <xf numFmtId="3" fontId="25" fillId="16" borderId="0" xfId="9" applyNumberFormat="1" applyFont="1" applyFill="1" applyBorder="1" applyAlignment="1">
      <alignment vertical="center"/>
    </xf>
    <xf numFmtId="0" fontId="11" fillId="0" borderId="0" xfId="9" applyFont="1" applyFill="1" applyBorder="1" applyAlignment="1">
      <alignment vertical="center"/>
    </xf>
    <xf numFmtId="0" fontId="25" fillId="0" borderId="34" xfId="9" applyFont="1" applyFill="1" applyBorder="1" applyAlignment="1">
      <alignment vertical="center"/>
    </xf>
    <xf numFmtId="17" fontId="25" fillId="16" borderId="0" xfId="9" applyNumberFormat="1" applyFont="1" applyFill="1" applyBorder="1" applyAlignment="1">
      <alignment horizontal="left" vertical="center"/>
    </xf>
    <xf numFmtId="0" fontId="25" fillId="16" borderId="34" xfId="9" applyFont="1" applyFill="1" applyBorder="1" applyAlignment="1">
      <alignment vertical="center"/>
    </xf>
    <xf numFmtId="0" fontId="25" fillId="16" borderId="31" xfId="9" applyFont="1" applyFill="1" applyBorder="1" applyAlignment="1">
      <alignment vertical="center"/>
    </xf>
    <xf numFmtId="0" fontId="11" fillId="0" borderId="39" xfId="9" applyFont="1" applyFill="1" applyBorder="1"/>
    <xf numFmtId="0" fontId="11" fillId="16" borderId="34" xfId="9" applyFont="1" applyFill="1" applyBorder="1"/>
    <xf numFmtId="0" fontId="11" fillId="3" borderId="39" xfId="9" applyFont="1" applyFill="1" applyBorder="1"/>
    <xf numFmtId="0" fontId="11" fillId="3" borderId="34" xfId="9" applyFont="1" applyFill="1" applyBorder="1"/>
    <xf numFmtId="0" fontId="25" fillId="16" borderId="39" xfId="9" applyFont="1" applyFill="1" applyBorder="1"/>
    <xf numFmtId="0" fontId="25" fillId="16" borderId="34" xfId="9" applyFont="1" applyFill="1" applyBorder="1"/>
    <xf numFmtId="0" fontId="11" fillId="16" borderId="31" xfId="9" applyFont="1" applyFill="1" applyBorder="1"/>
    <xf numFmtId="0" fontId="29" fillId="16" borderId="39" xfId="9" applyFont="1" applyFill="1" applyBorder="1" applyAlignment="1">
      <alignment horizontal="center"/>
    </xf>
    <xf numFmtId="0" fontId="11" fillId="0" borderId="0" xfId="9" applyFont="1" applyFill="1" applyBorder="1"/>
    <xf numFmtId="0" fontId="11" fillId="16" borderId="0" xfId="9" applyFont="1" applyFill="1" applyBorder="1" applyAlignment="1">
      <alignment vertical="center"/>
    </xf>
    <xf numFmtId="0" fontId="11" fillId="16" borderId="34" xfId="9" applyFont="1" applyFill="1" applyBorder="1" applyAlignment="1">
      <alignment vertical="center"/>
    </xf>
    <xf numFmtId="0" fontId="25" fillId="0" borderId="39" xfId="9" applyFont="1" applyFill="1" applyBorder="1" applyAlignment="1">
      <alignment vertical="center"/>
    </xf>
    <xf numFmtId="170" fontId="25" fillId="16" borderId="39" xfId="9" applyNumberFormat="1" applyFont="1" applyFill="1" applyBorder="1" applyAlignment="1">
      <alignment vertical="center"/>
    </xf>
    <xf numFmtId="0" fontId="11" fillId="16" borderId="39" xfId="9" applyFont="1" applyFill="1" applyBorder="1" applyAlignment="1">
      <alignment horizontal="center" vertical="center"/>
    </xf>
    <xf numFmtId="0" fontId="11" fillId="0" borderId="31" xfId="9" applyFont="1" applyFill="1" applyBorder="1"/>
    <xf numFmtId="0" fontId="11" fillId="16" borderId="31" xfId="9" applyFont="1" applyFill="1" applyBorder="1" applyAlignment="1">
      <alignment horizontal="center"/>
    </xf>
    <xf numFmtId="3" fontId="11" fillId="16" borderId="39" xfId="9" applyNumberFormat="1" applyFont="1" applyFill="1" applyBorder="1" applyAlignment="1">
      <alignment horizontal="center"/>
    </xf>
    <xf numFmtId="0" fontId="11" fillId="16" borderId="31" xfId="9" applyFont="1" applyFill="1" applyBorder="1" applyAlignment="1">
      <alignment vertical="center"/>
    </xf>
    <xf numFmtId="170" fontId="11" fillId="0" borderId="31" xfId="9" applyNumberFormat="1" applyFont="1" applyFill="1" applyBorder="1" applyAlignment="1">
      <alignment horizontal="center"/>
    </xf>
    <xf numFmtId="0" fontId="25" fillId="16" borderId="31" xfId="9" applyFont="1" applyFill="1" applyBorder="1" applyAlignment="1">
      <alignment horizontal="center"/>
    </xf>
    <xf numFmtId="0" fontId="25" fillId="16" borderId="31" xfId="9" applyFont="1" applyFill="1" applyBorder="1"/>
    <xf numFmtId="0" fontId="25" fillId="4" borderId="31" xfId="9" applyFont="1" applyFill="1" applyBorder="1" applyAlignment="1">
      <alignment horizontal="center"/>
    </xf>
    <xf numFmtId="0" fontId="10" fillId="16" borderId="31" xfId="9" applyFont="1" applyFill="1" applyBorder="1" applyAlignment="1">
      <alignment horizontal="center"/>
    </xf>
    <xf numFmtId="3" fontId="25" fillId="16" borderId="31" xfId="9" applyNumberFormat="1" applyFont="1" applyFill="1" applyBorder="1" applyAlignment="1">
      <alignment vertical="center"/>
    </xf>
    <xf numFmtId="170" fontId="25" fillId="16" borderId="31" xfId="9" applyNumberFormat="1" applyFont="1" applyFill="1" applyBorder="1" applyAlignment="1">
      <alignment vertical="center"/>
    </xf>
    <xf numFmtId="0" fontId="11" fillId="3" borderId="31" xfId="9" applyFont="1" applyFill="1" applyBorder="1" applyAlignment="1">
      <alignment horizontal="center"/>
    </xf>
    <xf numFmtId="170" fontId="11" fillId="3" borderId="31" xfId="9" applyNumberFormat="1" applyFont="1" applyFill="1" applyBorder="1" applyAlignment="1">
      <alignment horizontal="center"/>
    </xf>
    <xf numFmtId="0" fontId="3" fillId="4" borderId="0" xfId="9" applyFont="1" applyFill="1"/>
    <xf numFmtId="0" fontId="10" fillId="16" borderId="0" xfId="9" applyFont="1" applyFill="1" applyBorder="1" applyAlignment="1">
      <alignment horizontal="center"/>
    </xf>
    <xf numFmtId="0" fontId="27" fillId="16" borderId="0" xfId="9" applyFont="1" applyFill="1" applyBorder="1" applyAlignment="1">
      <alignment horizontal="center"/>
    </xf>
    <xf numFmtId="0" fontId="11" fillId="16" borderId="0" xfId="9" applyFont="1" applyFill="1" applyBorder="1" applyAlignment="1">
      <alignment horizontal="center" vertical="center"/>
    </xf>
    <xf numFmtId="0" fontId="11" fillId="16" borderId="31" xfId="9" applyFont="1" applyFill="1" applyBorder="1" applyAlignment="1">
      <alignment horizontal="center" vertical="center"/>
    </xf>
    <xf numFmtId="0" fontId="11" fillId="0" borderId="0" xfId="9" applyFont="1" applyFill="1" applyBorder="1" applyAlignment="1">
      <alignment horizontal="center"/>
    </xf>
    <xf numFmtId="0" fontId="11" fillId="0" borderId="39" xfId="9" applyFont="1" applyFill="1" applyBorder="1" applyAlignment="1">
      <alignment horizontal="center"/>
    </xf>
    <xf numFmtId="0" fontId="11" fillId="16" borderId="34" xfId="9" applyFont="1" applyFill="1" applyBorder="1" applyAlignment="1">
      <alignment horizontal="left"/>
    </xf>
    <xf numFmtId="0" fontId="11" fillId="16" borderId="39" xfId="9" applyFont="1" applyFill="1" applyBorder="1" applyAlignment="1">
      <alignment vertical="center"/>
    </xf>
    <xf numFmtId="0" fontId="25" fillId="16" borderId="39" xfId="9" applyFont="1" applyFill="1" applyBorder="1" applyAlignment="1">
      <alignment horizontal="center"/>
    </xf>
    <xf numFmtId="0" fontId="11" fillId="0" borderId="31" xfId="9" applyFont="1" applyFill="1" applyBorder="1" applyAlignment="1">
      <alignment horizontal="left"/>
    </xf>
    <xf numFmtId="170" fontId="3" fillId="17" borderId="0" xfId="9" applyNumberFormat="1" applyFont="1" applyFill="1"/>
    <xf numFmtId="17" fontId="11" fillId="16" borderId="0" xfId="9" applyNumberFormat="1" applyFont="1" applyFill="1" applyBorder="1" applyAlignment="1">
      <alignment horizontal="center"/>
    </xf>
    <xf numFmtId="0" fontId="11" fillId="0" borderId="39" xfId="9" applyFont="1" applyFill="1" applyBorder="1" applyAlignment="1">
      <alignment horizontal="left"/>
    </xf>
    <xf numFmtId="0" fontId="25" fillId="4" borderId="31" xfId="9" applyFont="1" applyFill="1" applyBorder="1"/>
    <xf numFmtId="0" fontId="9" fillId="0" borderId="0" xfId="9" applyFont="1" applyFill="1"/>
    <xf numFmtId="0" fontId="11" fillId="16" borderId="7" xfId="9" applyFont="1" applyFill="1" applyBorder="1"/>
    <xf numFmtId="0" fontId="11" fillId="16" borderId="15" xfId="9" applyFont="1" applyFill="1" applyBorder="1" applyAlignment="1">
      <alignment horizontal="center"/>
    </xf>
    <xf numFmtId="0" fontId="27" fillId="16" borderId="15" xfId="9" applyFont="1" applyFill="1" applyBorder="1" applyAlignment="1">
      <alignment horizontal="center"/>
    </xf>
    <xf numFmtId="0" fontId="25" fillId="16" borderId="15" xfId="9" applyFont="1" applyFill="1" applyBorder="1" applyAlignment="1">
      <alignment horizontal="center"/>
    </xf>
    <xf numFmtId="3" fontId="27" fillId="16" borderId="15" xfId="3" quotePrefix="1" applyNumberFormat="1" applyFont="1" applyFill="1" applyBorder="1" applyAlignment="1">
      <alignment horizontal="center" vertical="center"/>
    </xf>
    <xf numFmtId="3" fontId="27" fillId="16" borderId="15" xfId="3" applyNumberFormat="1" applyFont="1" applyFill="1" applyBorder="1" applyAlignment="1">
      <alignment horizontal="center" vertical="center"/>
    </xf>
    <xf numFmtId="0" fontId="27" fillId="3" borderId="15" xfId="9" applyFont="1" applyFill="1" applyBorder="1"/>
    <xf numFmtId="3" fontId="27" fillId="16" borderId="15" xfId="3" applyNumberFormat="1" applyFont="1" applyFill="1" applyBorder="1" applyAlignment="1">
      <alignment vertical="center"/>
    </xf>
    <xf numFmtId="0" fontId="27" fillId="16" borderId="7" xfId="9" applyFont="1" applyFill="1" applyBorder="1" applyAlignment="1">
      <alignment horizontal="center" vertical="center"/>
    </xf>
    <xf numFmtId="0" fontId="27" fillId="16" borderId="15" xfId="9" applyFont="1" applyFill="1" applyBorder="1" applyAlignment="1">
      <alignment horizontal="center" vertical="center"/>
    </xf>
    <xf numFmtId="170" fontId="27" fillId="3" borderId="6" xfId="9" applyNumberFormat="1" applyFont="1" applyFill="1" applyBorder="1" applyAlignment="1">
      <alignment horizontal="center" vertical="center"/>
    </xf>
    <xf numFmtId="0" fontId="27" fillId="16" borderId="6" xfId="9" applyFont="1" applyFill="1" applyBorder="1" applyAlignment="1">
      <alignment horizontal="center"/>
    </xf>
    <xf numFmtId="0" fontId="10" fillId="16" borderId="33" xfId="9" applyFont="1" applyFill="1" applyBorder="1" applyAlignment="1">
      <alignment horizontal="center"/>
    </xf>
    <xf numFmtId="0" fontId="27" fillId="0" borderId="15" xfId="9" applyFont="1" applyFill="1" applyBorder="1" applyAlignment="1">
      <alignment horizontal="center"/>
    </xf>
    <xf numFmtId="0" fontId="27" fillId="0" borderId="7" xfId="9" applyFont="1" applyFill="1" applyBorder="1" applyAlignment="1">
      <alignment horizontal="center"/>
    </xf>
    <xf numFmtId="0" fontId="30" fillId="3" borderId="7" xfId="9" applyFont="1" applyFill="1" applyBorder="1" applyAlignment="1">
      <alignment horizontal="center" vertical="center"/>
    </xf>
    <xf numFmtId="0" fontId="27" fillId="3" borderId="6" xfId="9" applyFont="1" applyFill="1" applyBorder="1" applyAlignment="1">
      <alignment horizontal="center" vertical="center"/>
    </xf>
    <xf numFmtId="0" fontId="25" fillId="16" borderId="7" xfId="9" applyFont="1" applyFill="1" applyBorder="1" applyAlignment="1">
      <alignment horizontal="center" vertical="center"/>
    </xf>
    <xf numFmtId="0" fontId="25" fillId="16" borderId="15" xfId="9" applyFont="1" applyFill="1" applyBorder="1" applyAlignment="1">
      <alignment horizontal="center" vertical="center"/>
    </xf>
    <xf numFmtId="0" fontId="27" fillId="16" borderId="6" xfId="9" applyFont="1" applyFill="1" applyBorder="1" applyAlignment="1">
      <alignment horizontal="right" vertical="center"/>
    </xf>
    <xf numFmtId="1" fontId="27" fillId="3" borderId="15" xfId="9" applyNumberFormat="1" applyFont="1" applyFill="1" applyBorder="1" applyAlignment="1">
      <alignment horizontal="center" vertical="center"/>
    </xf>
    <xf numFmtId="3" fontId="27" fillId="16" borderId="15" xfId="9" applyNumberFormat="1" applyFont="1" applyFill="1" applyBorder="1" applyAlignment="1">
      <alignment horizontal="center" vertical="center"/>
    </xf>
    <xf numFmtId="0" fontId="10" fillId="0" borderId="15" xfId="9" applyFont="1" applyFill="1" applyBorder="1" applyAlignment="1">
      <alignment horizontal="center" vertical="center"/>
    </xf>
    <xf numFmtId="0" fontId="27" fillId="0" borderId="6" xfId="9" applyFont="1" applyFill="1" applyBorder="1" applyAlignment="1">
      <alignment horizontal="center" vertical="center"/>
    </xf>
    <xf numFmtId="0" fontId="10" fillId="16" borderId="7" xfId="9" applyFont="1" applyFill="1" applyBorder="1"/>
    <xf numFmtId="0" fontId="10" fillId="16" borderId="15" xfId="9" applyFont="1" applyFill="1" applyBorder="1"/>
    <xf numFmtId="0" fontId="11" fillId="16" borderId="15" xfId="9" applyFont="1" applyFill="1" applyBorder="1"/>
    <xf numFmtId="0" fontId="27" fillId="16" borderId="6" xfId="9" applyFont="1" applyFill="1" applyBorder="1" applyAlignment="1">
      <alignment horizontal="center" vertical="center"/>
    </xf>
    <xf numFmtId="0" fontId="27" fillId="16" borderId="33" xfId="9" applyFont="1" applyFill="1" applyBorder="1" applyAlignment="1">
      <alignment horizontal="center" vertical="center"/>
    </xf>
    <xf numFmtId="0" fontId="11" fillId="0" borderId="7" xfId="9" applyFont="1" applyFill="1" applyBorder="1" applyAlignment="1">
      <alignment horizontal="center"/>
    </xf>
    <xf numFmtId="0" fontId="10" fillId="16" borderId="6" xfId="9" applyFont="1" applyFill="1" applyBorder="1" applyAlignment="1">
      <alignment horizontal="center"/>
    </xf>
    <xf numFmtId="0" fontId="10" fillId="3" borderId="7" xfId="9" applyFont="1" applyFill="1" applyBorder="1"/>
    <xf numFmtId="0" fontId="10" fillId="3" borderId="6" xfId="9" applyFont="1" applyFill="1" applyBorder="1"/>
    <xf numFmtId="0" fontId="11" fillId="0" borderId="7" xfId="9" applyFont="1" applyFill="1" applyBorder="1"/>
    <xf numFmtId="0" fontId="10" fillId="16" borderId="6" xfId="9" applyFont="1" applyFill="1" applyBorder="1"/>
    <xf numFmtId="0" fontId="25" fillId="16" borderId="7" xfId="9" applyFont="1" applyFill="1" applyBorder="1" applyAlignment="1">
      <alignment horizontal="center"/>
    </xf>
    <xf numFmtId="0" fontId="10" fillId="16" borderId="7" xfId="9" applyFont="1" applyFill="1" applyBorder="1" applyAlignment="1">
      <alignment horizontal="center"/>
    </xf>
    <xf numFmtId="0" fontId="10" fillId="16" borderId="15" xfId="9" applyFont="1" applyFill="1" applyBorder="1" applyAlignment="1">
      <alignment horizontal="center"/>
    </xf>
    <xf numFmtId="0" fontId="10" fillId="16" borderId="6" xfId="9" applyFont="1" applyFill="1" applyBorder="1" applyAlignment="1">
      <alignment horizontal="center" vertical="center"/>
    </xf>
    <xf numFmtId="0" fontId="10" fillId="0" borderId="15" xfId="9" applyFont="1" applyFill="1" applyBorder="1" applyAlignment="1">
      <alignment horizontal="center"/>
    </xf>
    <xf numFmtId="0" fontId="10" fillId="16" borderId="15" xfId="9" applyFont="1" applyFill="1" applyBorder="1" applyAlignment="1">
      <alignment horizontal="center" vertical="center"/>
    </xf>
    <xf numFmtId="0" fontId="10" fillId="16" borderId="7" xfId="9" applyFont="1" applyFill="1" applyBorder="1" applyAlignment="1">
      <alignment horizontal="center" vertical="center"/>
    </xf>
    <xf numFmtId="0" fontId="27" fillId="0" borderId="7" xfId="9" applyFont="1" applyFill="1" applyBorder="1" applyAlignment="1">
      <alignment horizontal="center" vertical="center"/>
    </xf>
    <xf numFmtId="170" fontId="27" fillId="16" borderId="7" xfId="9" applyNumberFormat="1" applyFont="1" applyFill="1" applyBorder="1" applyAlignment="1">
      <alignment horizontal="center" vertical="center"/>
    </xf>
    <xf numFmtId="0" fontId="27" fillId="16" borderId="7" xfId="9" applyFont="1" applyFill="1" applyBorder="1" applyAlignment="1">
      <alignment horizontal="center"/>
    </xf>
    <xf numFmtId="0" fontId="27" fillId="0" borderId="33" xfId="9" applyFont="1" applyFill="1" applyBorder="1" applyAlignment="1">
      <alignment horizontal="center"/>
    </xf>
    <xf numFmtId="3" fontId="10" fillId="16" borderId="7" xfId="9" applyNumberFormat="1" applyFont="1" applyFill="1" applyBorder="1" applyAlignment="1">
      <alignment horizontal="center"/>
    </xf>
    <xf numFmtId="0" fontId="10" fillId="16" borderId="6" xfId="9" applyFont="1" applyFill="1" applyBorder="1" applyAlignment="1">
      <alignment horizontal="right"/>
    </xf>
    <xf numFmtId="0" fontId="10" fillId="16" borderId="33" xfId="9" applyFont="1" applyFill="1" applyBorder="1" applyAlignment="1">
      <alignment horizontal="center" vertical="center"/>
    </xf>
    <xf numFmtId="170" fontId="10" fillId="0" borderId="33" xfId="9" applyNumberFormat="1" applyFont="1" applyFill="1" applyBorder="1" applyAlignment="1">
      <alignment horizontal="center"/>
    </xf>
    <xf numFmtId="0" fontId="27" fillId="16" borderId="33" xfId="9" applyFont="1" applyFill="1" applyBorder="1" applyAlignment="1">
      <alignment horizontal="center"/>
    </xf>
    <xf numFmtId="0" fontId="27" fillId="4" borderId="33" xfId="9" applyFont="1" applyFill="1" applyBorder="1" applyAlignment="1">
      <alignment horizontal="center"/>
    </xf>
    <xf numFmtId="3" fontId="27" fillId="16" borderId="33" xfId="9" applyNumberFormat="1" applyFont="1" applyFill="1" applyBorder="1" applyAlignment="1">
      <alignment horizontal="center" vertical="center"/>
    </xf>
    <xf numFmtId="170" fontId="27" fillId="16" borderId="33" xfId="9" applyNumberFormat="1" applyFont="1" applyFill="1" applyBorder="1" applyAlignment="1">
      <alignment horizontal="center" vertical="center"/>
    </xf>
    <xf numFmtId="0" fontId="11" fillId="3" borderId="33" xfId="9" applyFont="1" applyFill="1" applyBorder="1" applyAlignment="1">
      <alignment horizontal="center"/>
    </xf>
    <xf numFmtId="170" fontId="11" fillId="3" borderId="33" xfId="9" applyNumberFormat="1" applyFont="1" applyFill="1" applyBorder="1" applyAlignment="1">
      <alignment horizontal="center"/>
    </xf>
    <xf numFmtId="0" fontId="3" fillId="18" borderId="0" xfId="9" applyFont="1" applyFill="1"/>
    <xf numFmtId="3" fontId="25" fillId="0" borderId="0" xfId="3" applyNumberFormat="1" applyFont="1" applyFill="1" applyBorder="1" applyAlignment="1">
      <alignment horizontal="center" vertical="center"/>
    </xf>
    <xf numFmtId="3" fontId="11" fillId="0" borderId="0" xfId="9" applyNumberFormat="1" applyFont="1" applyFill="1"/>
    <xf numFmtId="0" fontId="31" fillId="0" borderId="0" xfId="9" applyFont="1" applyFill="1" applyBorder="1"/>
    <xf numFmtId="3" fontId="31" fillId="0" borderId="0" xfId="3" applyNumberFormat="1" applyFont="1" applyFill="1" applyBorder="1" applyAlignment="1">
      <alignment vertical="center"/>
    </xf>
    <xf numFmtId="3" fontId="25" fillId="0" borderId="0" xfId="3" applyNumberFormat="1" applyFont="1" applyFill="1" applyBorder="1" applyAlignment="1">
      <alignment vertical="center"/>
    </xf>
    <xf numFmtId="170" fontId="25" fillId="0" borderId="0" xfId="3" applyNumberFormat="1" applyFont="1" applyFill="1" applyBorder="1" applyAlignment="1">
      <alignment horizontal="center" vertical="center"/>
    </xf>
    <xf numFmtId="0" fontId="31" fillId="0" borderId="0" xfId="9" applyFont="1" applyFill="1" applyBorder="1" applyAlignment="1">
      <alignment vertical="center"/>
    </xf>
    <xf numFmtId="1" fontId="25" fillId="0" borderId="0" xfId="9" applyNumberFormat="1" applyFont="1" applyFill="1" applyBorder="1"/>
    <xf numFmtId="1" fontId="11" fillId="0" borderId="0" xfId="9" applyNumberFormat="1" applyFont="1" applyFill="1" applyBorder="1"/>
    <xf numFmtId="1" fontId="31" fillId="0" borderId="0" xfId="9" applyNumberFormat="1" applyFont="1" applyFill="1" applyBorder="1" applyAlignment="1">
      <alignment vertical="center"/>
    </xf>
    <xf numFmtId="17" fontId="11" fillId="0" borderId="0" xfId="9" applyNumberFormat="1" applyFont="1" applyFill="1" applyBorder="1"/>
    <xf numFmtId="171" fontId="25" fillId="0" borderId="0" xfId="9" applyNumberFormat="1" applyFont="1" applyFill="1" applyBorder="1"/>
    <xf numFmtId="3" fontId="25" fillId="0" borderId="0" xfId="9" applyNumberFormat="1" applyFont="1" applyFill="1" applyBorder="1"/>
    <xf numFmtId="4" fontId="25" fillId="0" borderId="0" xfId="9" applyNumberFormat="1" applyFont="1" applyFill="1" applyBorder="1" applyAlignment="1">
      <alignment vertical="center"/>
    </xf>
    <xf numFmtId="4" fontId="25" fillId="0" borderId="0" xfId="9" applyNumberFormat="1" applyFont="1" applyFill="1" applyBorder="1"/>
    <xf numFmtId="0" fontId="25" fillId="0" borderId="0" xfId="9" applyFont="1" applyFill="1"/>
    <xf numFmtId="4" fontId="25" fillId="0" borderId="0" xfId="3" applyNumberFormat="1" applyFont="1" applyFill="1" applyBorder="1" applyAlignment="1">
      <alignment vertical="center"/>
    </xf>
    <xf numFmtId="3" fontId="25" fillId="0" borderId="0" xfId="3" applyNumberFormat="1" applyFont="1" applyFill="1" applyBorder="1"/>
    <xf numFmtId="3" fontId="25" fillId="0" borderId="0" xfId="9" applyNumberFormat="1" applyFont="1" applyFill="1" applyBorder="1" applyAlignment="1">
      <alignment vertical="center"/>
    </xf>
    <xf numFmtId="3" fontId="25" fillId="4" borderId="0" xfId="3" applyNumberFormat="1" applyFont="1" applyFill="1" applyBorder="1" applyAlignment="1">
      <alignment horizontal="center" vertical="center"/>
    </xf>
    <xf numFmtId="3" fontId="25" fillId="0" borderId="0" xfId="9" applyNumberFormat="1" applyFont="1" applyFill="1"/>
    <xf numFmtId="0" fontId="4" fillId="0" borderId="0" xfId="9" applyFont="1"/>
    <xf numFmtId="0" fontId="4" fillId="0" borderId="0" xfId="9" applyFont="1" applyBorder="1"/>
    <xf numFmtId="0" fontId="4" fillId="0" borderId="0" xfId="9" applyFont="1" applyFill="1"/>
    <xf numFmtId="4" fontId="19" fillId="0" borderId="0" xfId="9" applyNumberFormat="1" applyFont="1" applyFill="1" applyBorder="1"/>
    <xf numFmtId="3" fontId="19" fillId="0" borderId="0" xfId="3" applyNumberFormat="1" applyFont="1" applyFill="1" applyBorder="1" applyAlignment="1">
      <alignment vertical="center"/>
    </xf>
    <xf numFmtId="4" fontId="19" fillId="0" borderId="0" xfId="3" applyNumberFormat="1" applyFont="1" applyFill="1" applyBorder="1" applyAlignment="1">
      <alignment vertical="center"/>
    </xf>
    <xf numFmtId="170" fontId="4" fillId="0" borderId="0" xfId="9" applyNumberFormat="1" applyFont="1" applyFill="1"/>
    <xf numFmtId="4" fontId="19" fillId="0" borderId="0" xfId="9" applyNumberFormat="1" applyFont="1" applyFill="1"/>
    <xf numFmtId="1" fontId="19" fillId="0" borderId="0" xfId="9" applyNumberFormat="1" applyFont="1" applyFill="1" applyBorder="1"/>
    <xf numFmtId="1" fontId="4" fillId="0" borderId="0" xfId="9" applyNumberFormat="1" applyFill="1" applyAlignment="1">
      <alignment horizontal="right"/>
    </xf>
    <xf numFmtId="2" fontId="32" fillId="0" borderId="0" xfId="9" applyNumberFormat="1" applyFont="1" applyFill="1" applyBorder="1" applyAlignment="1">
      <alignment vertical="center"/>
    </xf>
    <xf numFmtId="171" fontId="19" fillId="0" borderId="0" xfId="9" applyNumberFormat="1" applyFont="1" applyFill="1" applyBorder="1"/>
    <xf numFmtId="3" fontId="19" fillId="0" borderId="0" xfId="9" applyNumberFormat="1" applyFont="1" applyFill="1" applyBorder="1"/>
    <xf numFmtId="3" fontId="19" fillId="0" borderId="0" xfId="9" applyNumberFormat="1" applyFont="1" applyFill="1" applyBorder="1" applyAlignment="1">
      <alignment vertical="center"/>
    </xf>
    <xf numFmtId="4" fontId="19" fillId="0" borderId="0" xfId="9" applyNumberFormat="1" applyFont="1" applyFill="1" applyBorder="1" applyAlignment="1">
      <alignment vertical="center"/>
    </xf>
    <xf numFmtId="4" fontId="4" fillId="0" borderId="0" xfId="9" applyNumberFormat="1" applyFont="1" applyFill="1"/>
    <xf numFmtId="3" fontId="19" fillId="0" borderId="0" xfId="3" applyNumberFormat="1" applyFont="1" applyFill="1" applyBorder="1"/>
    <xf numFmtId="2" fontId="4" fillId="0" borderId="0" xfId="9" applyNumberFormat="1" applyFont="1" applyFill="1" applyBorder="1" applyAlignment="1">
      <alignment vertical="center"/>
    </xf>
    <xf numFmtId="3" fontId="4" fillId="3" borderId="0" xfId="9" applyNumberFormat="1" applyFill="1"/>
    <xf numFmtId="170" fontId="32" fillId="0" borderId="0" xfId="9" applyNumberFormat="1" applyFont="1" applyFill="1" applyBorder="1" applyAlignment="1">
      <alignment vertical="center"/>
    </xf>
    <xf numFmtId="0" fontId="4" fillId="0" borderId="0" xfId="9" applyFill="1" applyAlignment="1">
      <alignment horizontal="right"/>
    </xf>
    <xf numFmtId="3" fontId="4" fillId="0" borderId="0" xfId="9" applyNumberFormat="1" applyFill="1" applyAlignment="1">
      <alignment horizontal="right"/>
    </xf>
    <xf numFmtId="170" fontId="4" fillId="18" borderId="0" xfId="3" applyNumberFormat="1" applyFont="1" applyFill="1"/>
    <xf numFmtId="169" fontId="4" fillId="4" borderId="0" xfId="3" applyNumberFormat="1" applyFont="1" applyFill="1"/>
    <xf numFmtId="169" fontId="4" fillId="19" borderId="0" xfId="3" applyNumberFormat="1" applyFont="1" applyFill="1"/>
    <xf numFmtId="3" fontId="4" fillId="3" borderId="0" xfId="9" applyNumberFormat="1" applyFont="1" applyFill="1"/>
    <xf numFmtId="170" fontId="4" fillId="3" borderId="0" xfId="9" applyNumberFormat="1" applyFill="1"/>
    <xf numFmtId="2" fontId="4" fillId="3" borderId="0" xfId="9" applyNumberFormat="1" applyFill="1"/>
    <xf numFmtId="170" fontId="4" fillId="3" borderId="0" xfId="9" applyNumberFormat="1" applyFont="1" applyFill="1"/>
    <xf numFmtId="1" fontId="4" fillId="0" borderId="0" xfId="9" applyNumberFormat="1" applyFont="1" applyFill="1"/>
    <xf numFmtId="3" fontId="4" fillId="0" borderId="0" xfId="9" applyNumberFormat="1" applyFont="1"/>
    <xf numFmtId="3" fontId="4" fillId="11" borderId="0" xfId="9" applyNumberFormat="1" applyFont="1" applyFill="1"/>
    <xf numFmtId="3" fontId="33" fillId="0" borderId="0" xfId="3" applyNumberFormat="1" applyFont="1" applyFill="1" applyBorder="1"/>
    <xf numFmtId="0" fontId="3" fillId="0" borderId="0" xfId="9" applyFont="1" applyFill="1"/>
    <xf numFmtId="4" fontId="33" fillId="0" borderId="0" xfId="9" applyNumberFormat="1" applyFont="1" applyFill="1" applyBorder="1"/>
    <xf numFmtId="3" fontId="33" fillId="0" borderId="0" xfId="3" applyNumberFormat="1" applyFont="1" applyFill="1" applyBorder="1" applyAlignment="1">
      <alignment vertical="center"/>
    </xf>
    <xf numFmtId="4" fontId="25" fillId="0" borderId="0" xfId="3" applyNumberFormat="1" applyFont="1" applyFill="1" applyBorder="1"/>
    <xf numFmtId="0" fontId="4" fillId="20" borderId="0" xfId="9" applyFill="1"/>
    <xf numFmtId="3" fontId="4" fillId="0" borderId="0" xfId="9" applyNumberFormat="1" applyFont="1" applyFill="1"/>
    <xf numFmtId="2" fontId="4" fillId="0" borderId="0" xfId="9" applyNumberFormat="1" applyFill="1"/>
    <xf numFmtId="3" fontId="19" fillId="3" borderId="0" xfId="9" applyNumberFormat="1" applyFont="1" applyFill="1" applyBorder="1"/>
    <xf numFmtId="4" fontId="19" fillId="3" borderId="0" xfId="9" applyNumberFormat="1" applyFont="1" applyFill="1" applyBorder="1"/>
    <xf numFmtId="3" fontId="19" fillId="3" borderId="0" xfId="3" applyNumberFormat="1" applyFont="1" applyFill="1" applyBorder="1" applyAlignment="1">
      <alignment vertical="center"/>
    </xf>
    <xf numFmtId="0" fontId="4" fillId="3" borderId="0" xfId="9" applyFont="1" applyFill="1"/>
    <xf numFmtId="4" fontId="19" fillId="3" borderId="0" xfId="3" applyNumberFormat="1" applyFont="1" applyFill="1" applyBorder="1" applyAlignment="1">
      <alignment vertical="center"/>
    </xf>
    <xf numFmtId="170" fontId="4" fillId="0" borderId="0" xfId="9" applyNumberFormat="1" applyFont="1" applyFill="1" applyBorder="1" applyAlignment="1">
      <alignment vertical="center"/>
    </xf>
    <xf numFmtId="3" fontId="4" fillId="18" borderId="0" xfId="9" applyNumberFormat="1" applyFill="1"/>
    <xf numFmtId="1" fontId="4" fillId="3" borderId="0" xfId="9" applyNumberFormat="1" applyFill="1"/>
    <xf numFmtId="0" fontId="4" fillId="3" borderId="0" xfId="9" applyFill="1"/>
    <xf numFmtId="4" fontId="19" fillId="3" borderId="0" xfId="9" applyNumberFormat="1" applyFont="1" applyFill="1"/>
    <xf numFmtId="1" fontId="19" fillId="3" borderId="0" xfId="9" applyNumberFormat="1" applyFont="1" applyFill="1" applyBorder="1"/>
    <xf numFmtId="1" fontId="4" fillId="3" borderId="0" xfId="9" applyNumberFormat="1" applyFill="1" applyAlignment="1">
      <alignment horizontal="right"/>
    </xf>
    <xf numFmtId="10" fontId="4" fillId="0" borderId="0" xfId="9" applyNumberFormat="1" applyFill="1"/>
    <xf numFmtId="3" fontId="19" fillId="3" borderId="0" xfId="9" applyNumberFormat="1" applyFont="1" applyFill="1" applyBorder="1" applyAlignment="1">
      <alignment vertical="center"/>
    </xf>
    <xf numFmtId="4" fontId="19" fillId="3" borderId="0" xfId="9" applyNumberFormat="1" applyFont="1" applyFill="1" applyBorder="1" applyAlignment="1">
      <alignment vertical="center"/>
    </xf>
    <xf numFmtId="4" fontId="4" fillId="3" borderId="0" xfId="9" applyNumberFormat="1" applyFont="1" applyFill="1"/>
    <xf numFmtId="3" fontId="19" fillId="18" borderId="0" xfId="3" applyNumberFormat="1" applyFont="1" applyFill="1" applyBorder="1" applyAlignment="1">
      <alignment vertical="center"/>
    </xf>
    <xf numFmtId="2" fontId="32" fillId="3" borderId="0" xfId="9" applyNumberFormat="1" applyFont="1" applyFill="1" applyBorder="1" applyAlignment="1">
      <alignment vertical="center"/>
    </xf>
    <xf numFmtId="1" fontId="34" fillId="3" borderId="0" xfId="9" applyNumberFormat="1" applyFont="1" applyFill="1" applyBorder="1"/>
    <xf numFmtId="2" fontId="4" fillId="18" borderId="0" xfId="9" applyNumberFormat="1" applyFont="1" applyFill="1" applyBorder="1" applyAlignment="1">
      <alignment vertical="center"/>
    </xf>
    <xf numFmtId="170" fontId="4" fillId="3" borderId="0" xfId="9" applyNumberFormat="1" applyFont="1" applyFill="1" applyAlignment="1"/>
    <xf numFmtId="3" fontId="19" fillId="3" borderId="0" xfId="3" applyNumberFormat="1" applyFont="1" applyFill="1" applyBorder="1"/>
    <xf numFmtId="0" fontId="4" fillId="18" borderId="0" xfId="9" applyFont="1" applyFill="1"/>
    <xf numFmtId="0" fontId="4" fillId="18" borderId="0" xfId="9" applyFill="1" applyAlignment="1">
      <alignment horizontal="right"/>
    </xf>
    <xf numFmtId="1" fontId="4" fillId="18" borderId="0" xfId="9" applyNumberFormat="1" applyFill="1" applyAlignment="1">
      <alignment horizontal="right"/>
    </xf>
    <xf numFmtId="3" fontId="19" fillId="9" borderId="0" xfId="3" applyNumberFormat="1" applyFont="1" applyFill="1" applyBorder="1" applyAlignment="1">
      <alignment vertical="center"/>
    </xf>
    <xf numFmtId="170" fontId="4" fillId="3" borderId="0" xfId="9" applyNumberFormat="1" applyFont="1" applyFill="1" applyBorder="1" applyAlignment="1">
      <alignment vertical="center"/>
    </xf>
    <xf numFmtId="4" fontId="4" fillId="3" borderId="0" xfId="9" applyNumberFormat="1" applyFont="1" applyFill="1" applyBorder="1"/>
    <xf numFmtId="4" fontId="4" fillId="3" borderId="0" xfId="3" applyNumberFormat="1" applyFont="1" applyFill="1" applyBorder="1" applyAlignment="1">
      <alignment vertical="center"/>
    </xf>
    <xf numFmtId="0" fontId="4" fillId="0" borderId="0" xfId="9" applyFont="1" applyFill="1" applyBorder="1"/>
    <xf numFmtId="3" fontId="4" fillId="4" borderId="0" xfId="9" applyNumberFormat="1" applyFont="1" applyFill="1"/>
    <xf numFmtId="0" fontId="4" fillId="6" borderId="0" xfId="9" applyFont="1" applyFill="1" applyBorder="1"/>
    <xf numFmtId="169" fontId="4" fillId="3" borderId="0" xfId="3" applyNumberFormat="1" applyFont="1" applyFill="1"/>
    <xf numFmtId="3" fontId="4" fillId="21" borderId="0" xfId="9" applyNumberFormat="1" applyFill="1" applyAlignment="1">
      <alignment horizontal="right"/>
    </xf>
    <xf numFmtId="0" fontId="4" fillId="20" borderId="0" xfId="9" applyFont="1" applyFill="1"/>
    <xf numFmtId="173" fontId="4" fillId="0" borderId="0" xfId="9" applyNumberFormat="1" applyFont="1" applyBorder="1"/>
    <xf numFmtId="3" fontId="19" fillId="9" borderId="0" xfId="9" applyNumberFormat="1" applyFont="1" applyFill="1" applyBorder="1"/>
    <xf numFmtId="3" fontId="19" fillId="3" borderId="0" xfId="9" applyNumberFormat="1" applyFont="1" applyFill="1"/>
    <xf numFmtId="3" fontId="19" fillId="0" borderId="0" xfId="9" applyNumberFormat="1" applyFont="1" applyFill="1"/>
    <xf numFmtId="17" fontId="4" fillId="0" borderId="0" xfId="9" applyNumberFormat="1" applyFont="1" applyFill="1" applyBorder="1"/>
    <xf numFmtId="3" fontId="4" fillId="18" borderId="0" xfId="3" applyNumberFormat="1" applyFont="1" applyFill="1"/>
    <xf numFmtId="3" fontId="4" fillId="3" borderId="0" xfId="3" applyNumberFormat="1" applyFont="1" applyFill="1"/>
    <xf numFmtId="3" fontId="19" fillId="9" borderId="0" xfId="9" applyNumberFormat="1" applyFont="1" applyFill="1"/>
    <xf numFmtId="170" fontId="4" fillId="3" borderId="0" xfId="3" applyNumberFormat="1" applyFont="1" applyFill="1"/>
    <xf numFmtId="0" fontId="8" fillId="6" borderId="0" xfId="9" applyFont="1" applyFill="1" applyBorder="1"/>
    <xf numFmtId="0" fontId="8" fillId="0" borderId="0" xfId="9" applyFont="1"/>
    <xf numFmtId="3" fontId="8" fillId="3" borderId="0" xfId="9" applyNumberFormat="1" applyFont="1" applyFill="1" applyBorder="1"/>
    <xf numFmtId="4" fontId="8" fillId="3" borderId="0" xfId="9" applyNumberFormat="1" applyFont="1" applyFill="1" applyBorder="1"/>
    <xf numFmtId="3" fontId="8" fillId="9" borderId="0" xfId="9" applyNumberFormat="1" applyFont="1" applyFill="1" applyBorder="1"/>
    <xf numFmtId="3" fontId="8" fillId="0" borderId="0" xfId="9" applyNumberFormat="1" applyFont="1" applyFill="1" applyBorder="1"/>
    <xf numFmtId="4" fontId="8" fillId="0" borderId="0" xfId="9" applyNumberFormat="1" applyFont="1" applyFill="1" applyBorder="1"/>
    <xf numFmtId="4" fontId="8" fillId="0" borderId="0" xfId="3" applyNumberFormat="1" applyFont="1" applyFill="1" applyBorder="1" applyAlignment="1">
      <alignment vertical="center"/>
    </xf>
    <xf numFmtId="3" fontId="8" fillId="0" borderId="0" xfId="3" applyNumberFormat="1" applyFont="1" applyFill="1" applyBorder="1" applyAlignment="1">
      <alignment vertical="center"/>
    </xf>
    <xf numFmtId="3" fontId="8" fillId="3" borderId="0" xfId="3" applyNumberFormat="1" applyFont="1" applyFill="1" applyBorder="1" applyAlignment="1">
      <alignment vertical="center"/>
    </xf>
    <xf numFmtId="170" fontId="8" fillId="0" borderId="0" xfId="9" applyNumberFormat="1" applyFont="1" applyFill="1" applyBorder="1" applyAlignment="1">
      <alignment vertical="center"/>
    </xf>
    <xf numFmtId="3" fontId="8" fillId="3" borderId="0" xfId="9" applyNumberFormat="1" applyFont="1" applyFill="1"/>
    <xf numFmtId="3" fontId="8" fillId="18" borderId="0" xfId="9" applyNumberFormat="1" applyFont="1" applyFill="1"/>
    <xf numFmtId="3" fontId="8" fillId="0" borderId="0" xfId="9" applyNumberFormat="1" applyFont="1" applyFill="1"/>
    <xf numFmtId="0" fontId="8" fillId="0" borderId="0" xfId="9" applyFont="1" applyFill="1"/>
    <xf numFmtId="4" fontId="8" fillId="3" borderId="0" xfId="9" applyNumberFormat="1" applyFont="1" applyFill="1" applyBorder="1" applyAlignment="1">
      <alignment vertical="center"/>
    </xf>
    <xf numFmtId="1" fontId="8" fillId="0" borderId="0" xfId="9" applyNumberFormat="1" applyFont="1" applyFill="1" applyAlignment="1">
      <alignment horizontal="right"/>
    </xf>
    <xf numFmtId="1" fontId="8" fillId="0" borderId="0" xfId="9" applyNumberFormat="1" applyFont="1" applyFill="1"/>
    <xf numFmtId="17" fontId="8" fillId="0" borderId="0" xfId="9" applyNumberFormat="1" applyFont="1" applyFill="1" applyBorder="1"/>
    <xf numFmtId="171" fontId="8" fillId="0" borderId="0" xfId="9" applyNumberFormat="1" applyFont="1" applyFill="1" applyBorder="1"/>
    <xf numFmtId="0" fontId="8" fillId="3" borderId="0" xfId="9" applyFont="1" applyFill="1"/>
    <xf numFmtId="3" fontId="8" fillId="3" borderId="0" xfId="9" applyNumberFormat="1" applyFont="1" applyFill="1" applyBorder="1" applyAlignment="1">
      <alignment vertical="center"/>
    </xf>
    <xf numFmtId="4" fontId="8" fillId="3" borderId="0" xfId="9" applyNumberFormat="1" applyFont="1" applyFill="1"/>
    <xf numFmtId="4" fontId="8" fillId="3" borderId="0" xfId="3" applyNumberFormat="1" applyFont="1" applyFill="1" applyBorder="1" applyAlignment="1">
      <alignment vertical="center"/>
    </xf>
    <xf numFmtId="1" fontId="8" fillId="3" borderId="0" xfId="9" applyNumberFormat="1" applyFont="1" applyFill="1" applyBorder="1"/>
    <xf numFmtId="3" fontId="8" fillId="0" borderId="0" xfId="3" applyNumberFormat="1" applyFont="1" applyFill="1" applyBorder="1"/>
    <xf numFmtId="2" fontId="8" fillId="18" borderId="0" xfId="9" applyNumberFormat="1" applyFont="1" applyFill="1" applyBorder="1" applyAlignment="1">
      <alignment vertical="center"/>
    </xf>
    <xf numFmtId="3" fontId="8" fillId="18" borderId="0" xfId="3" applyNumberFormat="1" applyFont="1" applyFill="1"/>
    <xf numFmtId="3" fontId="8" fillId="3" borderId="0" xfId="3" applyNumberFormat="1" applyFont="1" applyFill="1"/>
    <xf numFmtId="0" fontId="8" fillId="18" borderId="0" xfId="9" applyFont="1" applyFill="1" applyAlignment="1">
      <alignment horizontal="right"/>
    </xf>
    <xf numFmtId="1" fontId="8" fillId="18" borderId="0" xfId="9" applyNumberFormat="1" applyFont="1" applyFill="1" applyAlignment="1">
      <alignment horizontal="right"/>
    </xf>
    <xf numFmtId="3" fontId="8" fillId="0" borderId="0" xfId="9" applyNumberFormat="1" applyFont="1" applyFill="1" applyAlignment="1">
      <alignment horizontal="right"/>
    </xf>
    <xf numFmtId="3" fontId="8" fillId="9" borderId="0" xfId="9" applyNumberFormat="1" applyFont="1" applyFill="1"/>
    <xf numFmtId="169" fontId="8" fillId="3" borderId="0" xfId="3" applyNumberFormat="1" applyFont="1" applyFill="1"/>
    <xf numFmtId="169" fontId="8" fillId="4" borderId="0" xfId="3" applyNumberFormat="1" applyFont="1" applyFill="1"/>
    <xf numFmtId="170" fontId="8" fillId="0" borderId="0" xfId="9" applyNumberFormat="1" applyFont="1" applyFill="1"/>
    <xf numFmtId="2" fontId="8" fillId="3" borderId="0" xfId="9" applyNumberFormat="1" applyFont="1" applyFill="1"/>
    <xf numFmtId="170" fontId="8" fillId="3" borderId="0" xfId="9" applyNumberFormat="1" applyFont="1" applyFill="1"/>
    <xf numFmtId="3" fontId="8" fillId="0" borderId="0" xfId="9" applyNumberFormat="1" applyFont="1"/>
    <xf numFmtId="169" fontId="4" fillId="0" borderId="0" xfId="3" applyNumberFormat="1" applyFont="1" applyFill="1"/>
    <xf numFmtId="1" fontId="4" fillId="3" borderId="0" xfId="9" applyNumberFormat="1" applyFont="1" applyFill="1"/>
    <xf numFmtId="170" fontId="8" fillId="18" borderId="0" xfId="3" applyNumberFormat="1" applyFont="1" applyFill="1"/>
    <xf numFmtId="1" fontId="32" fillId="0" borderId="0" xfId="9" applyNumberFormat="1" applyFont="1" applyFill="1" applyBorder="1" applyAlignment="1">
      <alignment vertical="center"/>
    </xf>
    <xf numFmtId="164" fontId="19" fillId="0" borderId="0" xfId="9" applyNumberFormat="1" applyFont="1" applyFill="1" applyBorder="1"/>
    <xf numFmtId="4" fontId="19" fillId="0" borderId="0" xfId="3" applyNumberFormat="1" applyFont="1" applyFill="1" applyBorder="1"/>
    <xf numFmtId="170" fontId="19" fillId="0" borderId="0" xfId="9" applyNumberFormat="1" applyFont="1" applyFill="1" applyBorder="1"/>
    <xf numFmtId="0" fontId="19" fillId="0" borderId="0" xfId="9" applyFont="1" applyFill="1" applyBorder="1" applyAlignment="1">
      <alignment vertical="center"/>
    </xf>
    <xf numFmtId="170" fontId="19" fillId="0" borderId="0" xfId="3" applyNumberFormat="1" applyFont="1" applyFill="1" applyBorder="1" applyAlignment="1">
      <alignment vertical="center"/>
    </xf>
    <xf numFmtId="3" fontId="32" fillId="0" borderId="0" xfId="3" applyNumberFormat="1" applyFont="1" applyFill="1" applyBorder="1" applyAlignment="1">
      <alignment vertical="center"/>
    </xf>
    <xf numFmtId="170" fontId="32" fillId="0" borderId="0" xfId="3" applyNumberFormat="1" applyFont="1" applyFill="1" applyBorder="1" applyAlignment="1">
      <alignment vertical="center"/>
    </xf>
    <xf numFmtId="170" fontId="3" fillId="0" borderId="0" xfId="9" applyNumberFormat="1" applyFont="1" applyFill="1" applyBorder="1"/>
    <xf numFmtId="170" fontId="3" fillId="0" borderId="0" xfId="9" applyNumberFormat="1" applyFont="1"/>
    <xf numFmtId="170" fontId="3" fillId="0" borderId="0" xfId="9" applyNumberFormat="1" applyFont="1" applyFill="1"/>
    <xf numFmtId="170" fontId="3" fillId="3" borderId="0" xfId="9" applyNumberFormat="1" applyFont="1" applyFill="1"/>
    <xf numFmtId="170" fontId="3" fillId="3" borderId="0" xfId="3" applyNumberFormat="1" applyFont="1" applyFill="1"/>
    <xf numFmtId="170" fontId="3" fillId="4" borderId="0" xfId="3" applyNumberFormat="1" applyFont="1" applyFill="1"/>
    <xf numFmtId="170" fontId="4" fillId="0" borderId="0" xfId="9" applyNumberFormat="1" applyFont="1"/>
    <xf numFmtId="170" fontId="4" fillId="0" borderId="0" xfId="9" applyNumberFormat="1" applyFont="1" applyFill="1" applyBorder="1"/>
    <xf numFmtId="170" fontId="4" fillId="4" borderId="0" xfId="9" applyNumberFormat="1" applyFill="1"/>
    <xf numFmtId="170" fontId="4" fillId="4" borderId="0" xfId="9" applyNumberFormat="1" applyFont="1" applyFill="1"/>
    <xf numFmtId="3" fontId="3" fillId="3" borderId="0" xfId="9" applyNumberFormat="1" applyFont="1" applyFill="1"/>
    <xf numFmtId="3" fontId="3" fillId="0" borderId="0" xfId="9" applyNumberFormat="1" applyFont="1" applyFill="1"/>
    <xf numFmtId="2" fontId="4" fillId="0" borderId="0" xfId="9" applyNumberFormat="1"/>
    <xf numFmtId="0" fontId="3" fillId="0" borderId="0" xfId="9" applyFont="1" applyAlignment="1">
      <alignment horizontal="right"/>
    </xf>
    <xf numFmtId="169" fontId="4" fillId="0" borderId="0" xfId="3" applyNumberFormat="1" applyFont="1"/>
    <xf numFmtId="170" fontId="4" fillId="0" borderId="0" xfId="3" applyNumberFormat="1" applyFont="1"/>
    <xf numFmtId="4" fontId="4" fillId="0" borderId="0" xfId="9" applyNumberFormat="1"/>
    <xf numFmtId="3" fontId="3" fillId="0" borderId="0" xfId="9" applyNumberFormat="1" applyFont="1"/>
    <xf numFmtId="170" fontId="3" fillId="0" borderId="0" xfId="9" applyNumberFormat="1" applyFont="1" applyAlignment="1">
      <alignment horizontal="right"/>
    </xf>
    <xf numFmtId="170" fontId="3" fillId="0" borderId="0" xfId="3" applyNumberFormat="1" applyFont="1"/>
    <xf numFmtId="170" fontId="3" fillId="0" borderId="0" xfId="3" applyNumberFormat="1" applyFont="1" applyFill="1"/>
    <xf numFmtId="1" fontId="4" fillId="0" borderId="0" xfId="9" applyNumberFormat="1" applyFont="1"/>
    <xf numFmtId="0" fontId="4" fillId="0" borderId="0" xfId="9" applyFont="1" applyFill="1" applyBorder="1" applyAlignment="1">
      <alignment horizontal="right"/>
    </xf>
    <xf numFmtId="169" fontId="4" fillId="0" borderId="0" xfId="9" applyNumberFormat="1"/>
    <xf numFmtId="0" fontId="4" fillId="0" borderId="0" xfId="11"/>
    <xf numFmtId="0" fontId="35" fillId="0" borderId="0" xfId="11" applyFont="1" applyFill="1"/>
    <xf numFmtId="0" fontId="36" fillId="0" borderId="0" xfId="11" applyFont="1"/>
    <xf numFmtId="0" fontId="4" fillId="4" borderId="8" xfId="11" applyFill="1" applyBorder="1"/>
    <xf numFmtId="0" fontId="4" fillId="4" borderId="0" xfId="11" applyFill="1" applyBorder="1"/>
    <xf numFmtId="0" fontId="4" fillId="4" borderId="9" xfId="11" applyFill="1" applyBorder="1"/>
    <xf numFmtId="0" fontId="4" fillId="0" borderId="0" xfId="11" applyAlignment="1">
      <alignment vertical="top" wrapText="1"/>
    </xf>
    <xf numFmtId="0" fontId="4" fillId="0" borderId="15" xfId="11" applyBorder="1" applyAlignment="1">
      <alignment vertical="top" wrapText="1"/>
    </xf>
    <xf numFmtId="0" fontId="3" fillId="0" borderId="15" xfId="11" applyFont="1" applyBorder="1" applyAlignment="1">
      <alignment horizontal="right" vertical="top" wrapText="1"/>
    </xf>
    <xf numFmtId="0" fontId="3" fillId="0" borderId="15" xfId="11" applyFont="1" applyBorder="1" applyAlignment="1">
      <alignment vertical="top" wrapText="1"/>
    </xf>
    <xf numFmtId="0" fontId="3" fillId="4" borderId="40" xfId="11" applyFont="1" applyFill="1" applyBorder="1" applyAlignment="1">
      <alignment horizontal="right" vertical="top" wrapText="1"/>
    </xf>
    <xf numFmtId="0" fontId="4" fillId="4" borderId="15" xfId="11" applyFill="1" applyBorder="1" applyAlignment="1">
      <alignment vertical="top" wrapText="1"/>
    </xf>
    <xf numFmtId="0" fontId="3" fillId="4" borderId="15" xfId="11" applyFont="1" applyFill="1" applyBorder="1" applyAlignment="1">
      <alignment horizontal="right" vertical="top" wrapText="1"/>
    </xf>
    <xf numFmtId="0" fontId="4" fillId="4" borderId="0" xfId="11" applyFill="1" applyBorder="1" applyAlignment="1">
      <alignment vertical="top" wrapText="1"/>
    </xf>
    <xf numFmtId="0" fontId="3" fillId="4" borderId="41" xfId="11" applyFont="1" applyFill="1" applyBorder="1" applyAlignment="1">
      <alignment vertical="top" wrapText="1"/>
    </xf>
    <xf numFmtId="0" fontId="4" fillId="0" borderId="0" xfId="11" applyAlignment="1">
      <alignment horizontal="right" wrapText="1"/>
    </xf>
    <xf numFmtId="0" fontId="4" fillId="4" borderId="8" xfId="11" applyFill="1" applyBorder="1" applyAlignment="1">
      <alignment horizontal="right" wrapText="1"/>
    </xf>
    <xf numFmtId="0" fontId="4" fillId="4" borderId="0" xfId="11" applyFill="1" applyBorder="1" applyAlignment="1">
      <alignment horizontal="right" wrapText="1"/>
    </xf>
    <xf numFmtId="3" fontId="4" fillId="0" borderId="0" xfId="11" applyNumberFormat="1" applyAlignment="1">
      <alignment horizontal="right"/>
    </xf>
    <xf numFmtId="3" fontId="4" fillId="0" borderId="0" xfId="11" applyNumberFormat="1"/>
    <xf numFmtId="3" fontId="4" fillId="4" borderId="8" xfId="11" applyNumberFormat="1" applyFill="1" applyBorder="1" applyAlignment="1">
      <alignment horizontal="right"/>
    </xf>
    <xf numFmtId="3" fontId="4" fillId="4" borderId="0" xfId="11" applyNumberFormat="1" applyFill="1" applyBorder="1" applyAlignment="1">
      <alignment horizontal="right"/>
    </xf>
    <xf numFmtId="3" fontId="4" fillId="4" borderId="9" xfId="11" applyNumberFormat="1" applyFill="1" applyBorder="1"/>
    <xf numFmtId="3" fontId="4" fillId="3" borderId="0" xfId="11" applyNumberFormat="1" applyFill="1" applyBorder="1"/>
    <xf numFmtId="0" fontId="4" fillId="0" borderId="15" xfId="11" applyBorder="1"/>
    <xf numFmtId="3" fontId="4" fillId="0" borderId="15" xfId="11" applyNumberFormat="1" applyBorder="1" applyAlignment="1">
      <alignment horizontal="right"/>
    </xf>
    <xf numFmtId="1" fontId="4" fillId="0" borderId="15" xfId="11" applyNumberFormat="1" applyBorder="1" applyAlignment="1">
      <alignment horizontal="right"/>
    </xf>
    <xf numFmtId="3" fontId="4" fillId="4" borderId="40" xfId="11" applyNumberFormat="1" applyFill="1" applyBorder="1" applyAlignment="1">
      <alignment horizontal="right"/>
    </xf>
    <xf numFmtId="0" fontId="4" fillId="4" borderId="15" xfId="11" applyFill="1" applyBorder="1"/>
    <xf numFmtId="1" fontId="4" fillId="4" borderId="15" xfId="11" applyNumberFormat="1" applyFill="1" applyBorder="1" applyAlignment="1">
      <alignment horizontal="right"/>
    </xf>
    <xf numFmtId="0" fontId="4" fillId="4" borderId="41" xfId="11" applyFill="1" applyBorder="1"/>
    <xf numFmtId="0" fontId="3" fillId="0" borderId="0" xfId="11" applyFont="1"/>
    <xf numFmtId="3" fontId="3" fillId="0" borderId="0" xfId="11" applyNumberFormat="1" applyFont="1" applyAlignment="1">
      <alignment horizontal="right"/>
    </xf>
    <xf numFmtId="3" fontId="3" fillId="4" borderId="8" xfId="11" applyNumberFormat="1" applyFont="1" applyFill="1" applyBorder="1"/>
    <xf numFmtId="3" fontId="3" fillId="4" borderId="0" xfId="11" applyNumberFormat="1" applyFont="1" applyFill="1" applyBorder="1"/>
    <xf numFmtId="3" fontId="3" fillId="4" borderId="9" xfId="11" applyNumberFormat="1" applyFont="1" applyFill="1" applyBorder="1"/>
    <xf numFmtId="0" fontId="4" fillId="4" borderId="12" xfId="11" applyFill="1" applyBorder="1"/>
    <xf numFmtId="0" fontId="4" fillId="4" borderId="13" xfId="11" applyFill="1" applyBorder="1"/>
    <xf numFmtId="0" fontId="4" fillId="4" borderId="14" xfId="11" applyFill="1" applyBorder="1"/>
    <xf numFmtId="0" fontId="4" fillId="4" borderId="0" xfId="11" applyFill="1" applyBorder="1" applyAlignment="1">
      <alignment wrapText="1"/>
    </xf>
    <xf numFmtId="3" fontId="4" fillId="16" borderId="0" xfId="11" applyNumberFormat="1" applyFill="1"/>
    <xf numFmtId="0" fontId="4" fillId="6" borderId="0" xfId="11" applyFill="1"/>
    <xf numFmtId="169" fontId="4" fillId="6" borderId="0" xfId="3" applyNumberFormat="1" applyFont="1" applyFill="1"/>
    <xf numFmtId="3" fontId="4" fillId="4" borderId="0" xfId="11" applyNumberFormat="1" applyFill="1" applyBorder="1"/>
    <xf numFmtId="3" fontId="3" fillId="4" borderId="17" xfId="11" applyNumberFormat="1" applyFont="1" applyFill="1" applyBorder="1"/>
    <xf numFmtId="3" fontId="3" fillId="0" borderId="0" xfId="11" applyNumberFormat="1" applyFont="1"/>
    <xf numFmtId="0" fontId="4" fillId="0" borderId="0" xfId="11" applyFill="1" applyBorder="1"/>
    <xf numFmtId="0" fontId="4" fillId="0" borderId="0" xfId="11" applyFill="1" applyBorder="1" applyAlignment="1">
      <alignment wrapText="1"/>
    </xf>
    <xf numFmtId="3" fontId="4" fillId="0" borderId="0" xfId="11" applyNumberFormat="1" applyFill="1" applyBorder="1"/>
    <xf numFmtId="170" fontId="4" fillId="0" borderId="0" xfId="11" applyNumberFormat="1" applyFont="1" applyAlignment="1">
      <alignment horizontal="right"/>
    </xf>
    <xf numFmtId="170" fontId="4" fillId="0" borderId="0" xfId="11" applyNumberFormat="1"/>
    <xf numFmtId="170" fontId="3" fillId="0" borderId="0" xfId="11" applyNumberFormat="1" applyFont="1"/>
    <xf numFmtId="0" fontId="4" fillId="0" borderId="0" xfId="11" applyFill="1"/>
    <xf numFmtId="0" fontId="3" fillId="0" borderId="0" xfId="0" applyFont="1" applyAlignment="1">
      <alignment horizontal="center" wrapText="1"/>
    </xf>
    <xf numFmtId="17" fontId="0" fillId="0" borderId="0" xfId="0" applyNumberFormat="1"/>
    <xf numFmtId="3" fontId="1" fillId="0" borderId="0" xfId="0" applyNumberFormat="1" applyFont="1" applyFill="1"/>
    <xf numFmtId="0" fontId="0" fillId="4" borderId="0" xfId="0" applyFill="1" applyAlignment="1">
      <alignment horizontal="center"/>
    </xf>
    <xf numFmtId="3" fontId="3" fillId="0" borderId="17" xfId="0" applyNumberFormat="1" applyFont="1" applyFill="1" applyBorder="1"/>
    <xf numFmtId="3" fontId="3" fillId="0" borderId="0" xfId="0" applyNumberFormat="1" applyFont="1" applyFill="1" applyBorder="1"/>
    <xf numFmtId="172" fontId="0" fillId="3" borderId="0" xfId="0" applyNumberFormat="1" applyFill="1" applyAlignment="1">
      <alignment horizontal="right"/>
    </xf>
    <xf numFmtId="168" fontId="4" fillId="13" borderId="4" xfId="0" applyNumberFormat="1" applyFont="1" applyFill="1" applyBorder="1" applyAlignment="1"/>
    <xf numFmtId="172" fontId="0" fillId="10" borderId="0" xfId="0" applyNumberFormat="1" applyFill="1"/>
    <xf numFmtId="0" fontId="3" fillId="10" borderId="0" xfId="0" applyFont="1" applyFill="1" applyBorder="1" applyAlignment="1">
      <alignment horizontal="right"/>
    </xf>
    <xf numFmtId="4" fontId="0" fillId="0" borderId="0" xfId="0" applyNumberFormat="1" applyFill="1" applyBorder="1" applyAlignment="1">
      <alignment horizontal="center"/>
    </xf>
    <xf numFmtId="4" fontId="0" fillId="0" borderId="0" xfId="0" applyNumberFormat="1" applyFill="1" applyBorder="1" applyAlignment="1">
      <alignment horizontal="right"/>
    </xf>
    <xf numFmtId="4" fontId="3" fillId="0" borderId="1" xfId="0" applyNumberFormat="1" applyFont="1" applyFill="1" applyBorder="1" applyAlignment="1">
      <alignment horizontal="center"/>
    </xf>
    <xf numFmtId="4" fontId="3" fillId="0" borderId="1" xfId="0" applyNumberFormat="1" applyFont="1" applyFill="1" applyBorder="1" applyAlignment="1">
      <alignment horizontal="right"/>
    </xf>
    <xf numFmtId="4" fontId="3" fillId="0" borderId="0" xfId="0" applyNumberFormat="1" applyFont="1" applyFill="1" applyBorder="1"/>
    <xf numFmtId="4" fontId="3" fillId="6" borderId="17" xfId="0" applyNumberFormat="1" applyFont="1" applyFill="1" applyBorder="1"/>
    <xf numFmtId="4" fontId="3" fillId="6" borderId="17" xfId="0" applyNumberFormat="1" applyFont="1" applyFill="1" applyBorder="1" applyAlignment="1">
      <alignment horizontal="center"/>
    </xf>
    <xf numFmtId="4" fontId="3" fillId="6" borderId="17" xfId="0" applyNumberFormat="1" applyFont="1" applyFill="1" applyBorder="1" applyAlignment="1">
      <alignment horizontal="right"/>
    </xf>
    <xf numFmtId="4" fontId="0" fillId="0" borderId="1" xfId="0" applyNumberFormat="1" applyFill="1" applyBorder="1" applyAlignment="1">
      <alignment horizontal="right"/>
    </xf>
    <xf numFmtId="4" fontId="0" fillId="10" borderId="0" xfId="0" applyNumberFormat="1" applyFill="1" applyBorder="1" applyAlignment="1">
      <alignment horizontal="right"/>
    </xf>
    <xf numFmtId="172" fontId="0" fillId="0" borderId="34" xfId="0" applyNumberFormat="1" applyFill="1" applyBorder="1" applyAlignment="1">
      <alignment horizontal="right"/>
    </xf>
    <xf numFmtId="172" fontId="0" fillId="0" borderId="6" xfId="0" applyNumberFormat="1" applyFill="1" applyBorder="1" applyAlignment="1">
      <alignment horizontal="right"/>
    </xf>
    <xf numFmtId="172" fontId="0" fillId="0" borderId="0" xfId="0" applyNumberFormat="1" applyFill="1" applyBorder="1" applyAlignment="1">
      <alignment horizontal="right"/>
    </xf>
    <xf numFmtId="166" fontId="0" fillId="22" borderId="31" xfId="0" applyNumberFormat="1" applyFill="1" applyBorder="1" applyAlignment="1">
      <alignment horizontal="right"/>
    </xf>
    <xf numFmtId="0" fontId="3" fillId="22" borderId="19" xfId="0" applyFont="1" applyFill="1" applyBorder="1" applyAlignment="1">
      <alignment horizontal="left" wrapText="1"/>
    </xf>
    <xf numFmtId="166" fontId="0" fillId="22" borderId="0" xfId="0" applyNumberFormat="1" applyFill="1" applyBorder="1" applyAlignment="1">
      <alignment horizontal="right"/>
    </xf>
    <xf numFmtId="4" fontId="0" fillId="22" borderId="0" xfId="0" applyNumberFormat="1" applyFill="1" applyBorder="1" applyAlignment="1">
      <alignment horizontal="right"/>
    </xf>
    <xf numFmtId="4" fontId="0" fillId="2" borderId="0" xfId="0" applyNumberFormat="1" applyFill="1" applyBorder="1" applyAlignment="1">
      <alignment horizontal="right"/>
    </xf>
    <xf numFmtId="0" fontId="3" fillId="2" borderId="38" xfId="0" applyFont="1" applyFill="1" applyBorder="1" applyAlignment="1">
      <alignment horizontal="left" wrapText="1"/>
    </xf>
    <xf numFmtId="0" fontId="3" fillId="2" borderId="19" xfId="0" applyFont="1" applyFill="1" applyBorder="1" applyAlignment="1">
      <alignment horizontal="left" wrapText="1"/>
    </xf>
    <xf numFmtId="165" fontId="0" fillId="0" borderId="0" xfId="0" applyNumberFormat="1"/>
    <xf numFmtId="174" fontId="0" fillId="0" borderId="0" xfId="0" applyNumberFormat="1"/>
    <xf numFmtId="4" fontId="3" fillId="7" borderId="17" xfId="0" applyNumberFormat="1" applyFont="1" applyFill="1" applyBorder="1" applyAlignment="1">
      <alignment horizontal="right"/>
    </xf>
    <xf numFmtId="2" fontId="0" fillId="0" borderId="0" xfId="0" applyNumberFormat="1" applyAlignment="1">
      <alignment horizontal="center"/>
    </xf>
    <xf numFmtId="2" fontId="0" fillId="15" borderId="0" xfId="0" applyNumberFormat="1" applyFill="1" applyAlignment="1">
      <alignment horizontal="center"/>
    </xf>
    <xf numFmtId="2" fontId="0" fillId="0" borderId="0" xfId="0" applyNumberFormat="1" applyFill="1" applyAlignment="1">
      <alignment horizontal="center"/>
    </xf>
    <xf numFmtId="2" fontId="3" fillId="0" borderId="1" xfId="0" applyNumberFormat="1" applyFont="1" applyBorder="1" applyAlignment="1">
      <alignment horizontal="center"/>
    </xf>
    <xf numFmtId="2" fontId="4" fillId="23" borderId="0" xfId="0" applyNumberFormat="1" applyFont="1" applyFill="1" applyAlignment="1">
      <alignment horizontal="center" wrapText="1"/>
    </xf>
    <xf numFmtId="0" fontId="0" fillId="23" borderId="0" xfId="0" applyFill="1" applyAlignment="1">
      <alignment horizontal="center"/>
    </xf>
    <xf numFmtId="0" fontId="0" fillId="23" borderId="0" xfId="0" applyFill="1" applyAlignment="1">
      <alignment horizontal="center" wrapText="1"/>
    </xf>
    <xf numFmtId="0" fontId="1" fillId="23" borderId="0" xfId="0" applyFont="1" applyFill="1" applyAlignment="1">
      <alignment horizontal="center" wrapText="1"/>
    </xf>
    <xf numFmtId="1" fontId="0" fillId="23" borderId="0" xfId="0" applyNumberFormat="1" applyFill="1" applyAlignment="1">
      <alignment horizontal="center" wrapText="1"/>
    </xf>
    <xf numFmtId="0" fontId="1" fillId="0" borderId="0" xfId="0" applyFont="1"/>
    <xf numFmtId="0" fontId="2" fillId="0" borderId="0" xfId="9" applyFont="1"/>
    <xf numFmtId="3" fontId="0" fillId="25" borderId="0" xfId="0" applyNumberFormat="1" applyFill="1" applyAlignment="1">
      <alignment horizontal="center"/>
    </xf>
    <xf numFmtId="166" fontId="7" fillId="0" borderId="19" xfId="0" applyNumberFormat="1" applyFont="1" applyFill="1" applyBorder="1"/>
    <xf numFmtId="0" fontId="0" fillId="0" borderId="33" xfId="0" applyBorder="1" applyAlignment="1">
      <alignment horizontal="center"/>
    </xf>
    <xf numFmtId="3" fontId="0" fillId="24" borderId="34" xfId="0" applyNumberFormat="1" applyFill="1" applyBorder="1" applyAlignment="1">
      <alignment horizontal="right"/>
    </xf>
    <xf numFmtId="3" fontId="0" fillId="24" borderId="1" xfId="0" applyNumberFormat="1" applyFill="1" applyBorder="1"/>
    <xf numFmtId="3" fontId="3" fillId="24" borderId="1" xfId="0" applyNumberFormat="1" applyFont="1" applyFill="1" applyBorder="1"/>
    <xf numFmtId="0" fontId="0" fillId="26" borderId="0" xfId="0" applyFill="1"/>
    <xf numFmtId="0" fontId="3" fillId="0" borderId="0" xfId="0" applyFont="1" applyFill="1" applyBorder="1" applyAlignment="1">
      <alignment horizontal="left"/>
    </xf>
    <xf numFmtId="0" fontId="0" fillId="26" borderId="0" xfId="0" applyFill="1" applyBorder="1"/>
    <xf numFmtId="3" fontId="0" fillId="26" borderId="0" xfId="0" applyNumberFormat="1" applyFill="1" applyBorder="1"/>
    <xf numFmtId="0" fontId="1" fillId="3" borderId="0" xfId="0" applyFont="1" applyFill="1" applyAlignment="1">
      <alignment horizontal="center" wrapText="1"/>
    </xf>
    <xf numFmtId="3" fontId="0" fillId="24" borderId="0" xfId="0" applyNumberFormat="1" applyFill="1" applyAlignment="1">
      <alignment horizontal="center"/>
    </xf>
    <xf numFmtId="3" fontId="1" fillId="0" borderId="0" xfId="0" applyNumberFormat="1" applyFont="1"/>
    <xf numFmtId="0" fontId="10" fillId="0" borderId="0" xfId="9" applyFont="1" applyBorder="1" applyAlignment="1">
      <alignment horizontal="center"/>
    </xf>
    <xf numFmtId="0" fontId="1" fillId="0" borderId="0" xfId="9" applyFont="1"/>
    <xf numFmtId="3" fontId="4" fillId="25" borderId="0" xfId="9" applyNumberFormat="1" applyFont="1" applyFill="1"/>
    <xf numFmtId="0" fontId="2" fillId="0" borderId="0" xfId="9" applyFont="1" applyAlignment="1">
      <alignment wrapText="1"/>
    </xf>
    <xf numFmtId="0" fontId="4" fillId="25" borderId="0" xfId="9" applyFont="1" applyFill="1"/>
    <xf numFmtId="0" fontId="1" fillId="25" borderId="0" xfId="0" applyFont="1" applyFill="1"/>
    <xf numFmtId="3" fontId="0" fillId="0" borderId="0" xfId="0" applyNumberFormat="1" applyFill="1" applyBorder="1" applyAlignment="1">
      <alignment horizontal="center"/>
    </xf>
    <xf numFmtId="4" fontId="0" fillId="27" borderId="0" xfId="0" applyNumberFormat="1" applyFill="1" applyBorder="1" applyAlignment="1">
      <alignment horizontal="right"/>
    </xf>
    <xf numFmtId="2" fontId="0" fillId="0" borderId="34" xfId="0" applyNumberFormat="1" applyBorder="1" applyAlignment="1">
      <alignment horizontal="right"/>
    </xf>
    <xf numFmtId="2" fontId="0" fillId="0" borderId="2" xfId="0" applyNumberFormat="1" applyBorder="1" applyAlignment="1">
      <alignment horizontal="right"/>
    </xf>
    <xf numFmtId="2" fontId="3" fillId="0" borderId="2" xfId="0" applyNumberFormat="1" applyFont="1" applyBorder="1" applyAlignment="1">
      <alignment horizontal="right"/>
    </xf>
    <xf numFmtId="0" fontId="0" fillId="8" borderId="3" xfId="0" applyNumberFormat="1" applyFill="1" applyBorder="1" applyAlignment="1"/>
    <xf numFmtId="3" fontId="1" fillId="0" borderId="31" xfId="0" applyNumberFormat="1" applyFont="1" applyFill="1" applyBorder="1" applyAlignment="1">
      <alignment horizontal="right"/>
    </xf>
    <xf numFmtId="0" fontId="1" fillId="23" borderId="0" xfId="0" applyFont="1" applyFill="1" applyBorder="1" applyAlignment="1">
      <alignment horizontal="right" wrapText="1"/>
    </xf>
    <xf numFmtId="172" fontId="0" fillId="0" borderId="0" xfId="0" applyNumberFormat="1"/>
    <xf numFmtId="0" fontId="4" fillId="26" borderId="0" xfId="0" applyFont="1" applyFill="1"/>
    <xf numFmtId="0" fontId="1" fillId="26" borderId="0" xfId="0" applyFont="1" applyFill="1"/>
    <xf numFmtId="3" fontId="4" fillId="26" borderId="0" xfId="0" applyNumberFormat="1" applyFont="1" applyFill="1"/>
    <xf numFmtId="0" fontId="4" fillId="26" borderId="0" xfId="0" applyFont="1" applyFill="1" applyProtection="1">
      <protection locked="0"/>
    </xf>
    <xf numFmtId="0" fontId="1" fillId="0" borderId="4" xfId="0" applyFont="1" applyBorder="1" applyAlignment="1">
      <alignment horizontal="left" wrapText="1"/>
    </xf>
    <xf numFmtId="0" fontId="3" fillId="0" borderId="49" xfId="0" applyFont="1" applyBorder="1" applyAlignment="1">
      <alignment wrapText="1"/>
    </xf>
    <xf numFmtId="0" fontId="3" fillId="0" borderId="50" xfId="0" applyFont="1" applyBorder="1" applyAlignment="1">
      <alignment wrapText="1"/>
    </xf>
    <xf numFmtId="0" fontId="3" fillId="28" borderId="20" xfId="0" applyFont="1" applyFill="1" applyBorder="1" applyAlignment="1">
      <alignment horizontal="center" vertical="center" wrapText="1"/>
    </xf>
    <xf numFmtId="0" fontId="3" fillId="28" borderId="21" xfId="0" applyFont="1" applyFill="1" applyBorder="1" applyAlignment="1">
      <alignment horizontal="center" vertical="center" wrapText="1"/>
    </xf>
    <xf numFmtId="0" fontId="3" fillId="0" borderId="2" xfId="0" applyFont="1" applyBorder="1" applyAlignment="1">
      <alignment wrapText="1"/>
    </xf>
    <xf numFmtId="3" fontId="3" fillId="0" borderId="0" xfId="0" applyNumberFormat="1" applyFont="1" applyFill="1"/>
    <xf numFmtId="0" fontId="0" fillId="0" borderId="0" xfId="0" applyNumberFormat="1" applyFill="1"/>
    <xf numFmtId="166" fontId="4" fillId="0" borderId="0" xfId="0" applyNumberFormat="1" applyFont="1" applyFill="1"/>
    <xf numFmtId="166" fontId="0" fillId="0" borderId="0" xfId="0" applyNumberFormat="1" applyFill="1"/>
    <xf numFmtId="9" fontId="0" fillId="0" borderId="0" xfId="0" applyNumberFormat="1" applyFill="1"/>
    <xf numFmtId="2" fontId="0" fillId="0" borderId="0" xfId="0" applyNumberFormat="1" applyFill="1"/>
    <xf numFmtId="175" fontId="3" fillId="0" borderId="0" xfId="0" applyNumberFormat="1" applyFont="1" applyFill="1"/>
    <xf numFmtId="10" fontId="0" fillId="0" borderId="0" xfId="0" applyNumberFormat="1" applyFill="1"/>
    <xf numFmtId="171" fontId="0" fillId="0" borderId="0" xfId="0" applyNumberFormat="1" applyFill="1"/>
    <xf numFmtId="3" fontId="3" fillId="0" borderId="0" xfId="0" applyNumberFormat="1" applyFont="1" applyFill="1" applyBorder="1" applyAlignment="1">
      <alignment horizontal="center" vertical="center" wrapText="1"/>
    </xf>
    <xf numFmtId="3" fontId="0" fillId="0" borderId="3" xfId="0" applyNumberFormat="1" applyFill="1" applyBorder="1" applyAlignment="1">
      <alignment horizontal="center" wrapText="1"/>
    </xf>
    <xf numFmtId="3" fontId="0" fillId="0" borderId="0" xfId="0" applyNumberFormat="1" applyFill="1" applyBorder="1" applyAlignment="1">
      <alignment horizontal="center" wrapText="1"/>
    </xf>
    <xf numFmtId="0" fontId="4" fillId="0" borderId="0" xfId="0" applyNumberFormat="1" applyFont="1" applyFill="1"/>
    <xf numFmtId="3" fontId="0" fillId="0" borderId="0" xfId="0" applyNumberFormat="1" applyFill="1" applyBorder="1" applyAlignment="1">
      <alignment vertical="center" wrapText="1"/>
    </xf>
    <xf numFmtId="3" fontId="0" fillId="0" borderId="0" xfId="0" applyNumberFormat="1" applyFill="1" applyBorder="1" applyAlignment="1">
      <alignment vertical="center"/>
    </xf>
    <xf numFmtId="3" fontId="3" fillId="0" borderId="0" xfId="0" applyNumberFormat="1" applyFont="1" applyFill="1" applyAlignment="1">
      <alignment wrapText="1"/>
    </xf>
    <xf numFmtId="0" fontId="4" fillId="0" borderId="0" xfId="0" applyFont="1" applyFill="1" applyProtection="1">
      <protection locked="0"/>
    </xf>
    <xf numFmtId="3" fontId="9" fillId="0" borderId="0" xfId="0" applyNumberFormat="1" applyFont="1" applyFill="1"/>
    <xf numFmtId="0" fontId="8" fillId="0" borderId="0" xfId="0" applyNumberFormat="1" applyFont="1" applyFill="1"/>
    <xf numFmtId="3" fontId="8" fillId="0" borderId="0" xfId="0" applyNumberFormat="1" applyFont="1" applyFill="1"/>
    <xf numFmtId="3" fontId="0" fillId="0" borderId="4" xfId="0" applyNumberFormat="1" applyFill="1" applyBorder="1"/>
    <xf numFmtId="3" fontId="0" fillId="0" borderId="1" xfId="0" applyNumberFormat="1" applyFill="1" applyBorder="1"/>
    <xf numFmtId="3" fontId="0" fillId="0" borderId="3" xfId="0" applyNumberFormat="1" applyFill="1" applyBorder="1"/>
    <xf numFmtId="3" fontId="3" fillId="0" borderId="1" xfId="0" applyNumberFormat="1" applyFont="1" applyFill="1" applyBorder="1"/>
    <xf numFmtId="9" fontId="0" fillId="30" borderId="0" xfId="0" applyNumberFormat="1" applyFill="1"/>
    <xf numFmtId="166" fontId="0" fillId="30" borderId="0" xfId="0" applyNumberFormat="1" applyFill="1"/>
    <xf numFmtId="3" fontId="3" fillId="30" borderId="0" xfId="0" applyNumberFormat="1" applyFont="1" applyFill="1" applyAlignment="1">
      <alignment horizontal="center" wrapText="1"/>
    </xf>
    <xf numFmtId="3" fontId="0" fillId="30" borderId="0" xfId="0" applyNumberFormat="1" applyFill="1"/>
    <xf numFmtId="3" fontId="0" fillId="30" borderId="0" xfId="0" applyNumberFormat="1" applyFill="1" applyBorder="1"/>
    <xf numFmtId="3" fontId="8" fillId="30" borderId="0" xfId="0" applyNumberFormat="1" applyFont="1" applyFill="1"/>
    <xf numFmtId="3" fontId="3" fillId="30" borderId="1" xfId="0" applyNumberFormat="1" applyFont="1" applyFill="1" applyBorder="1"/>
    <xf numFmtId="3" fontId="0" fillId="0" borderId="0" xfId="0" applyNumberFormat="1" applyBorder="1" applyAlignment="1">
      <alignment horizontal="center"/>
    </xf>
    <xf numFmtId="0" fontId="1" fillId="0" borderId="0" xfId="0" applyFont="1" applyAlignment="1">
      <alignment horizontal="center" wrapText="1"/>
    </xf>
    <xf numFmtId="3" fontId="1" fillId="0" borderId="0" xfId="0" applyNumberFormat="1" applyFont="1" applyFill="1" applyAlignment="1">
      <alignment horizontal="center" wrapText="1"/>
    </xf>
    <xf numFmtId="3" fontId="1" fillId="0" borderId="0" xfId="0" applyNumberFormat="1" applyFont="1" applyFill="1" applyAlignment="1">
      <alignment horizontal="left" wrapText="1"/>
    </xf>
    <xf numFmtId="0" fontId="0" fillId="0" borderId="39" xfId="0" applyBorder="1"/>
    <xf numFmtId="3" fontId="1" fillId="0" borderId="0" xfId="0" applyNumberFormat="1" applyFont="1" applyFill="1" applyAlignment="1">
      <alignment horizontal="right" wrapText="1"/>
    </xf>
    <xf numFmtId="3" fontId="1" fillId="0" borderId="0" xfId="0" applyNumberFormat="1" applyFont="1" applyFill="1" applyBorder="1" applyAlignment="1">
      <alignment horizontal="right" vertical="center" wrapText="1"/>
    </xf>
    <xf numFmtId="3" fontId="1" fillId="0" borderId="0" xfId="0" applyNumberFormat="1" applyFont="1" applyFill="1" applyBorder="1" applyAlignment="1">
      <alignment horizontal="right" wrapText="1"/>
    </xf>
    <xf numFmtId="0" fontId="1" fillId="0" borderId="0" xfId="0" applyFont="1" applyFill="1" applyAlignment="1">
      <alignment horizontal="right" wrapText="1"/>
    </xf>
    <xf numFmtId="3" fontId="1" fillId="30" borderId="0" xfId="0" applyNumberFormat="1" applyFont="1" applyFill="1" applyAlignment="1">
      <alignment horizontal="right" wrapText="1"/>
    </xf>
    <xf numFmtId="3" fontId="3" fillId="30" borderId="0" xfId="0" applyNumberFormat="1" applyFont="1" applyFill="1" applyBorder="1"/>
    <xf numFmtId="3" fontId="3" fillId="30" borderId="17" xfId="0" applyNumberFormat="1" applyFont="1" applyFill="1" applyBorder="1"/>
    <xf numFmtId="3" fontId="1" fillId="25" borderId="0" xfId="0" applyNumberFormat="1" applyFont="1" applyFill="1" applyAlignment="1">
      <alignment horizontal="center" wrapText="1"/>
    </xf>
    <xf numFmtId="0" fontId="1" fillId="31" borderId="0" xfId="0" applyFont="1" applyFill="1"/>
    <xf numFmtId="0" fontId="0" fillId="31" borderId="0" xfId="0" applyFill="1"/>
    <xf numFmtId="3" fontId="1" fillId="30" borderId="0" xfId="0" applyNumberFormat="1" applyFont="1" applyFill="1" applyAlignment="1">
      <alignment horizontal="center" wrapText="1"/>
    </xf>
    <xf numFmtId="0" fontId="13" fillId="32" borderId="8" xfId="0" applyFont="1" applyFill="1" applyBorder="1"/>
    <xf numFmtId="0" fontId="14" fillId="32" borderId="0" xfId="0" applyFont="1" applyFill="1" applyBorder="1"/>
    <xf numFmtId="167" fontId="14" fillId="32" borderId="0" xfId="0" applyNumberFormat="1" applyFont="1" applyFill="1" applyBorder="1" applyAlignment="1">
      <alignment horizontal="center"/>
    </xf>
    <xf numFmtId="0" fontId="15" fillId="32" borderId="8" xfId="0" applyFont="1" applyFill="1" applyBorder="1"/>
    <xf numFmtId="0" fontId="16" fillId="32" borderId="0" xfId="0" applyFont="1" applyFill="1" applyBorder="1"/>
    <xf numFmtId="167" fontId="16" fillId="32" borderId="0" xfId="0" applyNumberFormat="1" applyFont="1" applyFill="1" applyBorder="1"/>
    <xf numFmtId="0" fontId="41" fillId="0" borderId="3" xfId="0" applyFont="1" applyBorder="1" applyAlignment="1">
      <alignment horizontal="center"/>
    </xf>
    <xf numFmtId="0" fontId="12" fillId="32" borderId="8" xfId="0" applyFont="1" applyFill="1" applyBorder="1"/>
    <xf numFmtId="166" fontId="41" fillId="32" borderId="0" xfId="0" applyNumberFormat="1" applyFont="1" applyFill="1" applyBorder="1" applyAlignment="1"/>
    <xf numFmtId="0" fontId="41" fillId="32" borderId="0" xfId="0" applyFont="1" applyFill="1" applyBorder="1" applyAlignment="1">
      <alignment horizontal="center"/>
    </xf>
    <xf numFmtId="166" fontId="41" fillId="8" borderId="2" xfId="15" applyNumberFormat="1" applyFont="1" applyFill="1" applyBorder="1" applyAlignment="1">
      <alignment horizontal="center"/>
    </xf>
    <xf numFmtId="166" fontId="41" fillId="8" borderId="1" xfId="0" applyNumberFormat="1" applyFont="1" applyFill="1" applyBorder="1" applyAlignment="1">
      <alignment horizontal="center"/>
    </xf>
    <xf numFmtId="166" fontId="41" fillId="8" borderId="2" xfId="0" applyNumberFormat="1" applyFont="1" applyFill="1" applyBorder="1" applyAlignment="1">
      <alignment horizontal="center" wrapText="1"/>
    </xf>
    <xf numFmtId="166" fontId="41" fillId="8" borderId="2" xfId="0" applyNumberFormat="1" applyFont="1" applyFill="1" applyBorder="1" applyAlignment="1">
      <alignment horizontal="center"/>
    </xf>
    <xf numFmtId="3" fontId="41" fillId="0" borderId="2" xfId="0" applyNumberFormat="1" applyFont="1" applyFill="1" applyBorder="1" applyAlignment="1">
      <alignment horizontal="center"/>
    </xf>
    <xf numFmtId="1" fontId="41" fillId="0" borderId="3" xfId="0" applyNumberFormat="1" applyFont="1" applyFill="1" applyBorder="1" applyAlignment="1">
      <alignment horizontal="center"/>
    </xf>
    <xf numFmtId="3" fontId="41" fillId="0" borderId="3" xfId="0" applyNumberFormat="1" applyFont="1" applyFill="1" applyBorder="1" applyAlignment="1">
      <alignment horizontal="center"/>
    </xf>
    <xf numFmtId="3" fontId="12" fillId="32" borderId="0" xfId="0" applyNumberFormat="1" applyFont="1" applyFill="1" applyBorder="1" applyAlignment="1">
      <alignment horizontal="center"/>
    </xf>
    <xf numFmtId="167" fontId="12" fillId="32" borderId="0" xfId="0" applyNumberFormat="1" applyFont="1" applyFill="1" applyBorder="1" applyAlignment="1">
      <alignment horizontal="center"/>
    </xf>
    <xf numFmtId="0" fontId="3" fillId="28" borderId="19" xfId="0" applyFont="1" applyFill="1" applyBorder="1" applyAlignment="1">
      <alignment horizontal="center" wrapText="1"/>
    </xf>
    <xf numFmtId="3" fontId="3" fillId="28" borderId="2" xfId="0" applyNumberFormat="1" applyFont="1" applyFill="1" applyBorder="1" applyAlignment="1">
      <alignment horizontal="center" wrapText="1"/>
    </xf>
    <xf numFmtId="0" fontId="3" fillId="28" borderId="2" xfId="0" applyFont="1" applyFill="1" applyBorder="1" applyAlignment="1">
      <alignment horizontal="center" wrapText="1"/>
    </xf>
    <xf numFmtId="0" fontId="3" fillId="28" borderId="19" xfId="0" applyFont="1" applyFill="1" applyBorder="1" applyAlignment="1">
      <alignment horizontal="center"/>
    </xf>
    <xf numFmtId="0" fontId="1" fillId="0" borderId="8" xfId="0" applyFont="1" applyBorder="1"/>
    <xf numFmtId="0" fontId="3" fillId="11" borderId="16" xfId="0" applyFont="1" applyFill="1" applyBorder="1"/>
    <xf numFmtId="0" fontId="0" fillId="11" borderId="10" xfId="0" applyFill="1" applyBorder="1"/>
    <xf numFmtId="3" fontId="0" fillId="11" borderId="11" xfId="0" applyNumberFormat="1" applyFill="1" applyBorder="1"/>
    <xf numFmtId="3" fontId="3" fillId="0" borderId="22" xfId="0" applyNumberFormat="1" applyFont="1" applyBorder="1" applyAlignment="1">
      <alignment horizontal="center" wrapText="1"/>
    </xf>
    <xf numFmtId="3" fontId="41" fillId="0" borderId="25" xfId="0" applyNumberFormat="1" applyFont="1" applyBorder="1" applyAlignment="1">
      <alignment horizontal="center"/>
    </xf>
    <xf numFmtId="3" fontId="3" fillId="0" borderId="23" xfId="0" applyNumberFormat="1" applyFont="1" applyBorder="1" applyAlignment="1">
      <alignment horizontal="center"/>
    </xf>
    <xf numFmtId="3" fontId="0" fillId="0" borderId="25" xfId="0" applyNumberFormat="1" applyBorder="1" applyAlignment="1">
      <alignment horizontal="center"/>
    </xf>
    <xf numFmtId="3" fontId="3" fillId="28" borderId="23" xfId="0" applyNumberFormat="1" applyFont="1" applyFill="1" applyBorder="1" applyAlignment="1">
      <alignment horizontal="center"/>
    </xf>
    <xf numFmtId="0" fontId="1" fillId="28" borderId="12" xfId="0" applyFont="1" applyFill="1" applyBorder="1" applyAlignment="1">
      <alignment horizontal="center" wrapText="1"/>
    </xf>
    <xf numFmtId="0" fontId="1" fillId="28" borderId="13" xfId="0" applyFont="1" applyFill="1" applyBorder="1" applyAlignment="1">
      <alignment horizontal="center" wrapText="1"/>
    </xf>
    <xf numFmtId="0" fontId="1" fillId="28" borderId="14" xfId="0" applyFont="1" applyFill="1" applyBorder="1" applyAlignment="1">
      <alignment horizontal="center" wrapText="1"/>
    </xf>
    <xf numFmtId="3" fontId="0" fillId="0" borderId="11" xfId="0" applyNumberFormat="1" applyBorder="1"/>
    <xf numFmtId="3" fontId="0" fillId="0" borderId="9" xfId="0" applyNumberFormat="1" applyBorder="1"/>
    <xf numFmtId="167" fontId="3" fillId="28" borderId="23" xfId="0" applyNumberFormat="1" applyFont="1" applyFill="1" applyBorder="1" applyAlignment="1">
      <alignment horizontal="center"/>
    </xf>
    <xf numFmtId="0" fontId="2" fillId="0" borderId="0" xfId="16" applyFont="1"/>
    <xf numFmtId="0" fontId="1" fillId="0" borderId="0" xfId="17"/>
    <xf numFmtId="0" fontId="1" fillId="0" borderId="0" xfId="17" applyAlignment="1">
      <alignment horizontal="left"/>
    </xf>
    <xf numFmtId="0" fontId="3" fillId="26" borderId="0" xfId="15" applyFont="1" applyFill="1" applyBorder="1" applyAlignment="1">
      <alignment horizontal="left" vertical="center" wrapText="1"/>
    </xf>
    <xf numFmtId="0" fontId="1" fillId="26" borderId="0" xfId="15" applyFont="1" applyFill="1" applyBorder="1" applyAlignment="1">
      <alignment horizontal="left"/>
    </xf>
    <xf numFmtId="0" fontId="1" fillId="26" borderId="0" xfId="15" applyFont="1" applyFill="1" applyBorder="1" applyAlignment="1">
      <alignment horizontal="left" vertical="center"/>
    </xf>
    <xf numFmtId="0" fontId="1" fillId="0" borderId="0" xfId="17" applyBorder="1"/>
    <xf numFmtId="0" fontId="1" fillId="0" borderId="0" xfId="18" applyNumberFormat="1" applyFill="1" applyBorder="1" applyAlignment="1">
      <alignment vertical="center"/>
    </xf>
    <xf numFmtId="2" fontId="1" fillId="0" borderId="0" xfId="18" applyNumberFormat="1" applyFill="1" applyBorder="1" applyAlignment="1">
      <alignment horizontal="right" vertical="center"/>
    </xf>
    <xf numFmtId="0" fontId="1" fillId="0" borderId="0" xfId="18" applyFill="1" applyBorder="1" applyAlignment="1">
      <alignment vertical="center"/>
    </xf>
    <xf numFmtId="0" fontId="1" fillId="0" borderId="0" xfId="18" applyNumberFormat="1" applyFill="1" applyBorder="1" applyAlignment="1">
      <alignment horizontal="right" vertical="center"/>
    </xf>
    <xf numFmtId="0" fontId="1" fillId="0" borderId="0" xfId="18" applyFont="1" applyFill="1" applyBorder="1" applyAlignment="1">
      <alignment vertical="center"/>
    </xf>
    <xf numFmtId="0" fontId="0" fillId="0" borderId="0" xfId="18" applyFont="1" applyFill="1" applyBorder="1" applyAlignment="1">
      <alignment vertical="center"/>
    </xf>
    <xf numFmtId="0" fontId="43" fillId="0" borderId="0" xfId="19" applyFill="1" applyBorder="1" applyAlignment="1">
      <alignment vertical="center"/>
    </xf>
    <xf numFmtId="0" fontId="43" fillId="0" borderId="0" xfId="19" applyFill="1" applyBorder="1" applyAlignment="1">
      <alignment horizontal="center" vertical="center"/>
    </xf>
    <xf numFmtId="0" fontId="1" fillId="0" borderId="0" xfId="15" applyNumberFormat="1" applyFill="1" applyBorder="1" applyAlignment="1">
      <alignment vertical="center"/>
    </xf>
    <xf numFmtId="2" fontId="1" fillId="0" borderId="0" xfId="15" applyNumberFormat="1" applyFill="1" applyBorder="1" applyAlignment="1">
      <alignment horizontal="center" vertical="center"/>
    </xf>
    <xf numFmtId="2" fontId="1" fillId="33" borderId="0" xfId="12" applyNumberFormat="1" applyFont="1" applyFill="1" applyBorder="1" applyAlignment="1">
      <alignment horizontal="left" wrapText="1"/>
    </xf>
    <xf numFmtId="0" fontId="1" fillId="26" borderId="0" xfId="12" applyNumberFormat="1" applyFont="1" applyFill="1" applyBorder="1" applyAlignment="1">
      <alignment horizontal="left" wrapText="1"/>
    </xf>
    <xf numFmtId="0" fontId="1" fillId="0" borderId="0" xfId="19" applyFont="1" applyFill="1" applyBorder="1" applyAlignment="1">
      <alignment vertical="center"/>
    </xf>
    <xf numFmtId="0" fontId="1" fillId="0" borderId="0" xfId="19" applyFont="1" applyFill="1" applyBorder="1" applyAlignment="1">
      <alignment horizontal="center" vertical="center"/>
    </xf>
    <xf numFmtId="2" fontId="1" fillId="26" borderId="0" xfId="12" applyNumberFormat="1" applyFont="1" applyFill="1" applyBorder="1" applyAlignment="1">
      <alignment horizontal="left" wrapText="1"/>
    </xf>
    <xf numFmtId="0" fontId="43" fillId="0" borderId="39" xfId="19" applyFill="1" applyBorder="1" applyAlignment="1">
      <alignment vertical="center"/>
    </xf>
    <xf numFmtId="0" fontId="43" fillId="0" borderId="0" xfId="19" applyFill="1" applyBorder="1" applyAlignment="1">
      <alignment horizontal="right" vertical="center"/>
    </xf>
    <xf numFmtId="0" fontId="1" fillId="0" borderId="0" xfId="17" applyFont="1"/>
    <xf numFmtId="0" fontId="1" fillId="0" borderId="0" xfId="17" applyFont="1" applyAlignment="1">
      <alignment horizontal="left"/>
    </xf>
    <xf numFmtId="0" fontId="41" fillId="15" borderId="0" xfId="17" applyFont="1" applyFill="1" applyBorder="1"/>
    <xf numFmtId="0" fontId="12" fillId="15" borderId="0" xfId="17" applyFont="1" applyFill="1" applyBorder="1" applyAlignment="1">
      <alignment horizontal="center"/>
    </xf>
    <xf numFmtId="0" fontId="41" fillId="15" borderId="9" xfId="17" applyFont="1" applyFill="1" applyBorder="1"/>
    <xf numFmtId="0" fontId="12" fillId="4" borderId="54" xfId="17" applyFont="1" applyFill="1" applyBorder="1" applyAlignment="1">
      <alignment horizontal="center" vertical="center" wrapText="1"/>
    </xf>
    <xf numFmtId="0" fontId="12" fillId="4" borderId="56" xfId="17" applyFont="1" applyFill="1" applyBorder="1" applyAlignment="1">
      <alignment horizontal="center" vertical="center" wrapText="1"/>
    </xf>
    <xf numFmtId="0" fontId="43" fillId="3" borderId="37" xfId="19" applyFill="1" applyBorder="1" applyAlignment="1">
      <alignment horizontal="center"/>
    </xf>
    <xf numFmtId="3" fontId="41" fillId="0" borderId="55" xfId="17" applyNumberFormat="1" applyFont="1" applyFill="1" applyBorder="1" applyAlignment="1">
      <alignment horizontal="center" vertical="center"/>
    </xf>
    <xf numFmtId="3" fontId="41" fillId="16" borderId="57" xfId="17" applyNumberFormat="1" applyFont="1" applyFill="1" applyBorder="1" applyAlignment="1" applyProtection="1">
      <alignment horizontal="center"/>
      <protection locked="0"/>
    </xf>
    <xf numFmtId="176" fontId="43" fillId="3" borderId="37" xfId="19" applyNumberFormat="1" applyFill="1" applyBorder="1" applyAlignment="1">
      <alignment horizontal="center"/>
    </xf>
    <xf numFmtId="0" fontId="12" fillId="8" borderId="61" xfId="17" applyFont="1" applyFill="1" applyBorder="1" applyAlignment="1">
      <alignment horizontal="center" vertical="center" wrapText="1"/>
    </xf>
    <xf numFmtId="0" fontId="12" fillId="8" borderId="60" xfId="17" applyFont="1" applyFill="1" applyBorder="1" applyAlignment="1">
      <alignment horizontal="center" vertical="center" wrapText="1"/>
    </xf>
    <xf numFmtId="0" fontId="1" fillId="3" borderId="0" xfId="17" applyFill="1" applyBorder="1" applyAlignment="1">
      <alignment horizontal="center"/>
    </xf>
    <xf numFmtId="0" fontId="41" fillId="16" borderId="57" xfId="17" applyFont="1" applyFill="1" applyBorder="1" applyProtection="1">
      <protection locked="0"/>
    </xf>
    <xf numFmtId="0" fontId="12" fillId="17" borderId="61" xfId="17" applyFont="1" applyFill="1" applyBorder="1" applyAlignment="1">
      <alignment horizontal="center" vertical="center" wrapText="1"/>
    </xf>
    <xf numFmtId="0" fontId="12" fillId="17" borderId="60" xfId="17" applyFont="1" applyFill="1" applyBorder="1" applyAlignment="1">
      <alignment horizontal="center" vertical="center" wrapText="1"/>
    </xf>
    <xf numFmtId="43" fontId="41" fillId="16" borderId="63" xfId="21" applyFont="1" applyFill="1" applyBorder="1" applyProtection="1">
      <protection locked="0"/>
    </xf>
    <xf numFmtId="0" fontId="41" fillId="16" borderId="57" xfId="17" applyFont="1" applyFill="1" applyBorder="1" applyAlignment="1" applyProtection="1">
      <alignment vertical="center" wrapText="1"/>
      <protection locked="0"/>
    </xf>
    <xf numFmtId="43" fontId="41" fillId="16" borderId="62" xfId="21" applyFont="1" applyFill="1" applyBorder="1" applyProtection="1">
      <protection locked="0"/>
    </xf>
    <xf numFmtId="0" fontId="1" fillId="0" borderId="64" xfId="17" applyBorder="1" applyAlignment="1">
      <alignment vertical="center" wrapText="1"/>
    </xf>
    <xf numFmtId="0" fontId="12" fillId="34" borderId="61" xfId="17" applyFont="1" applyFill="1" applyBorder="1" applyAlignment="1">
      <alignment horizontal="center" vertical="center" wrapText="1"/>
    </xf>
    <xf numFmtId="0" fontId="12" fillId="34" borderId="60" xfId="17" applyFont="1" applyFill="1" applyBorder="1" applyAlignment="1">
      <alignment horizontal="center" vertical="center" wrapText="1"/>
    </xf>
    <xf numFmtId="0" fontId="41" fillId="16" borderId="57" xfId="17" applyFont="1" applyFill="1" applyBorder="1" applyAlignment="1" applyProtection="1">
      <alignment horizontal="center"/>
      <protection locked="0"/>
    </xf>
    <xf numFmtId="0" fontId="1" fillId="0" borderId="57" xfId="17" applyBorder="1" applyAlignment="1">
      <alignment vertical="center" wrapText="1"/>
    </xf>
    <xf numFmtId="0" fontId="41" fillId="16" borderId="65" xfId="17" applyFont="1" applyFill="1" applyBorder="1" applyProtection="1">
      <protection locked="0"/>
    </xf>
    <xf numFmtId="0" fontId="1" fillId="0" borderId="65" xfId="17" applyBorder="1" applyAlignment="1">
      <alignment vertical="center" wrapText="1"/>
    </xf>
    <xf numFmtId="43" fontId="41" fillId="16" borderId="62" xfId="21" applyFont="1" applyFill="1" applyBorder="1" applyAlignment="1" applyProtection="1">
      <alignment horizontal="center"/>
      <protection locked="0"/>
    </xf>
    <xf numFmtId="0" fontId="41" fillId="16" borderId="65" xfId="17" applyFont="1" applyFill="1" applyBorder="1" applyAlignment="1" applyProtection="1">
      <alignment horizontal="center"/>
      <protection locked="0"/>
    </xf>
    <xf numFmtId="0" fontId="12" fillId="35" borderId="48" xfId="17" applyFont="1" applyFill="1" applyBorder="1"/>
    <xf numFmtId="0" fontId="41" fillId="35" borderId="48" xfId="17" applyFont="1" applyFill="1" applyBorder="1" applyAlignment="1">
      <alignment vertical="center"/>
    </xf>
    <xf numFmtId="0" fontId="3" fillId="0" borderId="2" xfId="19" applyFont="1" applyBorder="1" applyAlignment="1">
      <alignment horizontal="center" vertical="center" wrapText="1"/>
    </xf>
    <xf numFmtId="170" fontId="3" fillId="0" borderId="2" xfId="19" applyNumberFormat="1" applyFont="1" applyBorder="1" applyAlignment="1">
      <alignment horizontal="center" vertical="center" wrapText="1"/>
    </xf>
    <xf numFmtId="0" fontId="44" fillId="0" borderId="0" xfId="19" applyFont="1"/>
    <xf numFmtId="0" fontId="44" fillId="0" borderId="0" xfId="19" applyFont="1" applyAlignment="1">
      <alignment wrapText="1"/>
    </xf>
    <xf numFmtId="0" fontId="43" fillId="0" borderId="39" xfId="19" applyBorder="1"/>
    <xf numFmtId="0" fontId="43" fillId="0" borderId="0" xfId="19" applyBorder="1"/>
    <xf numFmtId="0" fontId="43" fillId="0" borderId="0" xfId="19" applyBorder="1" applyAlignment="1">
      <alignment horizontal="center"/>
    </xf>
    <xf numFmtId="0" fontId="43" fillId="0" borderId="1" xfId="19" applyBorder="1" applyAlignment="1">
      <alignment horizontal="center"/>
    </xf>
    <xf numFmtId="170" fontId="43" fillId="0" borderId="0" xfId="19" applyNumberFormat="1" applyBorder="1" applyAlignment="1">
      <alignment horizontal="center"/>
    </xf>
    <xf numFmtId="0" fontId="43" fillId="0" borderId="0" xfId="19"/>
    <xf numFmtId="0" fontId="45" fillId="0" borderId="39" xfId="19" applyFont="1" applyFill="1" applyBorder="1"/>
    <xf numFmtId="0" fontId="45" fillId="0" borderId="0" xfId="19" applyFont="1" applyBorder="1"/>
    <xf numFmtId="0" fontId="45" fillId="0" borderId="5" xfId="19" applyFont="1" applyBorder="1" applyAlignment="1">
      <alignment horizontal="center"/>
    </xf>
    <xf numFmtId="0" fontId="45" fillId="0" borderId="0" xfId="19" applyFont="1" applyBorder="1" applyAlignment="1">
      <alignment horizontal="center"/>
    </xf>
    <xf numFmtId="169" fontId="46" fillId="0" borderId="37" xfId="22" applyNumberFormat="1" applyFont="1" applyFill="1" applyBorder="1" applyAlignment="1">
      <alignment horizontal="center"/>
    </xf>
    <xf numFmtId="169" fontId="46" fillId="0" borderId="0" xfId="22" applyNumberFormat="1" applyFont="1" applyFill="1" applyBorder="1" applyAlignment="1">
      <alignment horizontal="center"/>
    </xf>
    <xf numFmtId="0" fontId="45" fillId="0" borderId="39" xfId="19" applyFont="1" applyBorder="1" applyAlignment="1">
      <alignment horizontal="center"/>
    </xf>
    <xf numFmtId="0" fontId="43" fillId="3" borderId="39" xfId="19" applyFill="1" applyBorder="1" applyAlignment="1">
      <alignment horizontal="center"/>
    </xf>
    <xf numFmtId="0" fontId="43" fillId="3" borderId="0" xfId="19" applyFill="1" applyBorder="1" applyAlignment="1">
      <alignment horizontal="center"/>
    </xf>
    <xf numFmtId="170" fontId="43" fillId="0" borderId="0" xfId="19" applyNumberFormat="1"/>
    <xf numFmtId="3" fontId="43" fillId="0" borderId="1" xfId="19" applyNumberFormat="1" applyFont="1" applyBorder="1"/>
    <xf numFmtId="3" fontId="43" fillId="0" borderId="1" xfId="19" applyNumberFormat="1" applyFont="1" applyBorder="1" applyAlignment="1">
      <alignment horizontal="right"/>
    </xf>
    <xf numFmtId="0" fontId="47" fillId="0" borderId="2" xfId="19" applyFont="1" applyBorder="1" applyAlignment="1" applyProtection="1">
      <alignment horizontal="left"/>
    </xf>
    <xf numFmtId="0" fontId="17" fillId="0" borderId="2" xfId="19" applyFont="1" applyBorder="1" applyAlignment="1" applyProtection="1">
      <alignment horizontal="center"/>
    </xf>
    <xf numFmtId="0" fontId="47" fillId="4" borderId="2" xfId="19" applyFont="1" applyFill="1" applyBorder="1" applyAlignment="1" applyProtection="1">
      <alignment horizontal="left"/>
    </xf>
    <xf numFmtId="0" fontId="17" fillId="4" borderId="2" xfId="19" applyFont="1" applyFill="1" applyBorder="1" applyAlignment="1" applyProtection="1">
      <alignment horizontal="center"/>
    </xf>
    <xf numFmtId="0" fontId="47" fillId="0" borderId="2" xfId="19" applyFont="1" applyFill="1" applyBorder="1" applyAlignment="1" applyProtection="1">
      <alignment horizontal="left"/>
    </xf>
    <xf numFmtId="0" fontId="17" fillId="0" borderId="2" xfId="19" applyFont="1" applyFill="1" applyBorder="1" applyAlignment="1" applyProtection="1">
      <alignment horizontal="center"/>
    </xf>
    <xf numFmtId="0" fontId="1" fillId="0" borderId="0" xfId="19" applyFont="1" applyFill="1" applyBorder="1"/>
    <xf numFmtId="0" fontId="1" fillId="0" borderId="0" xfId="19" applyFont="1" applyFill="1" applyBorder="1" applyAlignment="1">
      <alignment horizontal="center"/>
    </xf>
    <xf numFmtId="0" fontId="47" fillId="6" borderId="2" xfId="19" applyFont="1" applyFill="1" applyBorder="1" applyAlignment="1" applyProtection="1">
      <alignment horizontal="left"/>
    </xf>
    <xf numFmtId="0" fontId="17" fillId="6" borderId="2" xfId="19" applyFont="1" applyFill="1" applyBorder="1" applyAlignment="1" applyProtection="1">
      <alignment horizontal="center"/>
    </xf>
    <xf numFmtId="3" fontId="43" fillId="0" borderId="0" xfId="19" applyNumberFormat="1"/>
    <xf numFmtId="0" fontId="43" fillId="36" borderId="0" xfId="19" applyFill="1"/>
    <xf numFmtId="0" fontId="1" fillId="0" borderId="2" xfId="18" applyNumberFormat="1" applyFont="1" applyFill="1" applyBorder="1" applyAlignment="1">
      <alignment vertical="center"/>
    </xf>
    <xf numFmtId="0" fontId="1" fillId="0" borderId="58" xfId="19" applyFont="1" applyFill="1" applyBorder="1" applyAlignment="1">
      <alignment horizontal="right" vertical="center"/>
    </xf>
    <xf numFmtId="0" fontId="43" fillId="0" borderId="0" xfId="19" applyFill="1" applyBorder="1"/>
    <xf numFmtId="0" fontId="1" fillId="0" borderId="2" xfId="18" applyNumberFormat="1" applyFill="1" applyBorder="1" applyAlignment="1">
      <alignment vertical="center"/>
    </xf>
    <xf numFmtId="2" fontId="1" fillId="0" borderId="2" xfId="18" applyNumberFormat="1" applyFill="1" applyBorder="1" applyAlignment="1">
      <alignment horizontal="right" vertical="center"/>
    </xf>
    <xf numFmtId="0" fontId="1" fillId="0" borderId="2" xfId="18" applyFill="1" applyBorder="1" applyAlignment="1">
      <alignment vertical="center"/>
    </xf>
    <xf numFmtId="0" fontId="1" fillId="0" borderId="2" xfId="18" applyNumberFormat="1" applyFill="1" applyBorder="1" applyAlignment="1">
      <alignment horizontal="right" vertical="center"/>
    </xf>
    <xf numFmtId="0" fontId="1" fillId="0" borderId="2" xfId="18" applyFont="1" applyFill="1" applyBorder="1" applyAlignment="1">
      <alignment vertical="center"/>
    </xf>
    <xf numFmtId="0" fontId="0" fillId="0" borderId="2" xfId="18" applyFont="1" applyFill="1" applyBorder="1" applyAlignment="1">
      <alignment vertical="center"/>
    </xf>
    <xf numFmtId="0" fontId="43" fillId="0" borderId="2" xfId="19" applyFill="1" applyBorder="1" applyAlignment="1">
      <alignment vertical="center"/>
    </xf>
    <xf numFmtId="0" fontId="1" fillId="0" borderId="2" xfId="15" applyNumberFormat="1" applyFill="1" applyBorder="1" applyAlignment="1">
      <alignment vertical="center"/>
    </xf>
    <xf numFmtId="2" fontId="1" fillId="0" borderId="2" xfId="15" applyNumberFormat="1" applyFill="1" applyBorder="1" applyAlignment="1">
      <alignment horizontal="center" vertical="center"/>
    </xf>
    <xf numFmtId="0" fontId="19" fillId="0" borderId="2" xfId="12" applyNumberFormat="1" applyFont="1" applyFill="1" applyBorder="1" applyAlignment="1">
      <alignment wrapText="1"/>
    </xf>
    <xf numFmtId="2" fontId="19" fillId="0" borderId="2" xfId="12" applyNumberFormat="1" applyFont="1" applyFill="1" applyBorder="1" applyAlignment="1">
      <alignment horizontal="right" wrapText="1"/>
    </xf>
    <xf numFmtId="0" fontId="1" fillId="34" borderId="39" xfId="15" applyNumberFormat="1" applyFill="1" applyBorder="1"/>
    <xf numFmtId="0" fontId="43" fillId="0" borderId="0" xfId="19" applyBorder="1" applyAlignment="1">
      <alignment horizontal="right" vertical="center"/>
    </xf>
    <xf numFmtId="0" fontId="1" fillId="0" borderId="66" xfId="19" applyFont="1" applyFill="1" applyBorder="1" applyAlignment="1">
      <alignment vertical="center"/>
    </xf>
    <xf numFmtId="0" fontId="1" fillId="0" borderId="58" xfId="19" applyFont="1" applyFill="1" applyBorder="1" applyAlignment="1">
      <alignment horizontal="center" vertical="center"/>
    </xf>
    <xf numFmtId="2" fontId="19" fillId="0" borderId="39" xfId="23" applyNumberFormat="1" applyFont="1" applyFill="1" applyBorder="1" applyAlignment="1">
      <alignment wrapText="1"/>
    </xf>
    <xf numFmtId="2" fontId="19" fillId="0" borderId="0" xfId="23" applyNumberFormat="1" applyFont="1" applyFill="1" applyBorder="1" applyAlignment="1">
      <alignment wrapText="1"/>
    </xf>
    <xf numFmtId="0" fontId="19" fillId="0" borderId="0" xfId="23" applyNumberFormat="1" applyFont="1" applyFill="1" applyBorder="1" applyAlignment="1">
      <alignment horizontal="right" wrapText="1"/>
    </xf>
    <xf numFmtId="0" fontId="43" fillId="0" borderId="66" xfId="19" applyFill="1" applyBorder="1" applyAlignment="1">
      <alignment vertical="center"/>
    </xf>
    <xf numFmtId="0" fontId="43" fillId="0" borderId="58" xfId="19" applyFill="1" applyBorder="1" applyAlignment="1">
      <alignment horizontal="right" vertical="center"/>
    </xf>
    <xf numFmtId="3" fontId="44" fillId="0" borderId="1" xfId="19" applyNumberFormat="1" applyFont="1" applyBorder="1"/>
    <xf numFmtId="3" fontId="43" fillId="30" borderId="0" xfId="19" applyNumberFormat="1" applyFill="1"/>
    <xf numFmtId="0" fontId="3" fillId="0" borderId="39" xfId="19" applyFont="1" applyFill="1" applyBorder="1" applyAlignment="1">
      <alignment horizontal="center" vertical="center" wrapText="1"/>
    </xf>
    <xf numFmtId="3" fontId="3" fillId="30" borderId="39" xfId="19" applyNumberFormat="1" applyFont="1" applyFill="1" applyBorder="1" applyAlignment="1">
      <alignment horizontal="center" vertical="center" wrapText="1"/>
    </xf>
    <xf numFmtId="0" fontId="44" fillId="30" borderId="0" xfId="19" applyFont="1" applyFill="1" applyAlignment="1">
      <alignment wrapText="1"/>
    </xf>
    <xf numFmtId="0" fontId="44" fillId="30" borderId="0" xfId="19" applyFont="1" applyFill="1"/>
    <xf numFmtId="0" fontId="44" fillId="0" borderId="0" xfId="19" applyFont="1" applyFill="1" applyAlignment="1">
      <alignment wrapText="1"/>
    </xf>
    <xf numFmtId="0" fontId="44" fillId="26" borderId="0" xfId="19" applyFont="1" applyFill="1" applyAlignment="1">
      <alignment wrapText="1"/>
    </xf>
    <xf numFmtId="0" fontId="44" fillId="24" borderId="0" xfId="19" applyFont="1" applyFill="1" applyAlignment="1">
      <alignment wrapText="1"/>
    </xf>
    <xf numFmtId="0" fontId="43" fillId="30" borderId="0" xfId="19" applyFill="1"/>
    <xf numFmtId="0" fontId="43" fillId="0" borderId="0" xfId="19" applyFill="1"/>
    <xf numFmtId="0" fontId="43" fillId="26" borderId="0" xfId="19" applyFill="1"/>
    <xf numFmtId="0" fontId="43" fillId="24" borderId="0" xfId="19" applyFill="1"/>
    <xf numFmtId="3" fontId="46" fillId="30" borderId="0" xfId="22" applyNumberFormat="1" applyFont="1" applyFill="1" applyBorder="1" applyAlignment="1">
      <alignment horizontal="center"/>
    </xf>
    <xf numFmtId="169" fontId="46" fillId="30" borderId="0" xfId="22" applyNumberFormat="1" applyFont="1" applyFill="1" applyBorder="1" applyAlignment="1">
      <alignment horizontal="center"/>
    </xf>
    <xf numFmtId="170" fontId="43" fillId="3" borderId="37" xfId="19" applyNumberFormat="1" applyFill="1" applyBorder="1" applyAlignment="1">
      <alignment horizontal="right"/>
    </xf>
    <xf numFmtId="4" fontId="43" fillId="30" borderId="0" xfId="19" applyNumberFormat="1" applyFill="1"/>
    <xf numFmtId="4" fontId="43" fillId="0" borderId="0" xfId="19" applyNumberFormat="1"/>
    <xf numFmtId="4" fontId="43" fillId="37" borderId="0" xfId="19" applyNumberFormat="1" applyFill="1"/>
    <xf numFmtId="3" fontId="43" fillId="0" borderId="0" xfId="19" applyNumberFormat="1" applyFill="1"/>
    <xf numFmtId="3" fontId="43" fillId="26" borderId="0" xfId="19" applyNumberFormat="1" applyFill="1"/>
    <xf numFmtId="3" fontId="43" fillId="24" borderId="0" xfId="19" applyNumberFormat="1" applyFill="1"/>
    <xf numFmtId="3" fontId="44" fillId="30" borderId="1" xfId="19" applyNumberFormat="1" applyFont="1" applyFill="1" applyBorder="1"/>
    <xf numFmtId="0" fontId="44" fillId="0" borderId="1" xfId="19" applyFont="1" applyBorder="1"/>
    <xf numFmtId="0" fontId="44" fillId="0" borderId="1" xfId="19" applyFont="1" applyFill="1" applyBorder="1"/>
    <xf numFmtId="3" fontId="44" fillId="0" borderId="1" xfId="19" applyNumberFormat="1" applyFont="1" applyFill="1" applyBorder="1"/>
    <xf numFmtId="3" fontId="44" fillId="26" borderId="1" xfId="19" applyNumberFormat="1" applyFont="1" applyFill="1" applyBorder="1"/>
    <xf numFmtId="3" fontId="44" fillId="24" borderId="1" xfId="19" applyNumberFormat="1" applyFont="1" applyFill="1" applyBorder="1"/>
    <xf numFmtId="3" fontId="44" fillId="30" borderId="0" xfId="19" applyNumberFormat="1" applyFont="1" applyFill="1" applyBorder="1"/>
    <xf numFmtId="0" fontId="44" fillId="0" borderId="0" xfId="19" applyFont="1" applyBorder="1"/>
    <xf numFmtId="3" fontId="43" fillId="0" borderId="0" xfId="19" applyNumberFormat="1" applyFont="1" applyBorder="1"/>
    <xf numFmtId="0" fontId="44" fillId="30" borderId="0" xfId="19" applyFont="1" applyFill="1" applyBorder="1"/>
    <xf numFmtId="0" fontId="44" fillId="0" borderId="0" xfId="19" applyFont="1" applyFill="1" applyBorder="1"/>
    <xf numFmtId="3" fontId="44" fillId="0" borderId="0" xfId="19" applyNumberFormat="1" applyFont="1" applyFill="1" applyBorder="1"/>
    <xf numFmtId="3" fontId="44" fillId="26" borderId="0" xfId="19" applyNumberFormat="1" applyFont="1" applyFill="1" applyBorder="1"/>
    <xf numFmtId="3" fontId="44" fillId="24" borderId="0" xfId="19" applyNumberFormat="1" applyFont="1" applyFill="1" applyBorder="1"/>
    <xf numFmtId="4" fontId="43" fillId="0" borderId="0" xfId="19" applyNumberFormat="1" applyFill="1"/>
    <xf numFmtId="3" fontId="43" fillId="27" borderId="0" xfId="19" applyNumberFormat="1" applyFill="1"/>
    <xf numFmtId="3" fontId="48" fillId="26" borderId="0" xfId="19" applyNumberFormat="1" applyFont="1" applyFill="1"/>
    <xf numFmtId="0" fontId="1" fillId="26" borderId="0" xfId="17" applyFill="1"/>
    <xf numFmtId="0" fontId="41" fillId="15" borderId="0" xfId="17" applyFont="1" applyFill="1" applyBorder="1" applyAlignment="1"/>
    <xf numFmtId="0" fontId="41" fillId="26" borderId="0" xfId="17" applyFont="1" applyFill="1" applyBorder="1"/>
    <xf numFmtId="3" fontId="41" fillId="0" borderId="59" xfId="17" applyNumberFormat="1" applyFont="1" applyFill="1" applyBorder="1" applyAlignment="1">
      <alignment horizontal="center" vertical="center"/>
    </xf>
    <xf numFmtId="0" fontId="12" fillId="26" borderId="0" xfId="0" applyFont="1" applyFill="1" applyBorder="1" applyAlignment="1">
      <alignment horizontal="center"/>
    </xf>
    <xf numFmtId="0" fontId="12" fillId="26" borderId="0" xfId="17" applyFont="1" applyFill="1" applyBorder="1" applyAlignment="1">
      <alignment horizontal="right" vertical="center"/>
    </xf>
    <xf numFmtId="3" fontId="0" fillId="26" borderId="9" xfId="0" applyNumberFormat="1" applyFill="1" applyBorder="1"/>
    <xf numFmtId="0" fontId="12" fillId="4" borderId="70" xfId="17" applyFont="1" applyFill="1" applyBorder="1" applyAlignment="1">
      <alignment horizontal="center" wrapText="1"/>
    </xf>
    <xf numFmtId="0" fontId="41" fillId="0" borderId="69" xfId="17" applyFont="1" applyBorder="1"/>
    <xf numFmtId="0" fontId="12" fillId="8" borderId="26" xfId="17" applyFont="1" applyFill="1" applyBorder="1" applyAlignment="1">
      <alignment vertical="center" wrapText="1"/>
    </xf>
    <xf numFmtId="0" fontId="12" fillId="8" borderId="71" xfId="17" applyFont="1" applyFill="1" applyBorder="1" applyAlignment="1">
      <alignment horizontal="center" vertical="center" wrapText="1"/>
    </xf>
    <xf numFmtId="0" fontId="41" fillId="0" borderId="24" xfId="17" applyFont="1" applyBorder="1" applyAlignment="1">
      <alignment horizontal="left" wrapText="1"/>
    </xf>
    <xf numFmtId="0" fontId="41" fillId="0" borderId="72" xfId="17" applyFont="1" applyFill="1" applyBorder="1" applyProtection="1">
      <protection locked="0"/>
    </xf>
    <xf numFmtId="0" fontId="12" fillId="17" borderId="26" xfId="17" applyFont="1" applyFill="1" applyBorder="1" applyAlignment="1">
      <alignment vertical="center" wrapText="1"/>
    </xf>
    <xf numFmtId="0" fontId="12" fillId="17" borderId="71" xfId="17" applyFont="1" applyFill="1" applyBorder="1" applyAlignment="1">
      <alignment horizontal="center" vertical="center" wrapText="1"/>
    </xf>
    <xf numFmtId="0" fontId="41" fillId="16" borderId="73" xfId="17" applyFont="1" applyFill="1" applyBorder="1" applyProtection="1">
      <protection locked="0"/>
    </xf>
    <xf numFmtId="0" fontId="41" fillId="16" borderId="72" xfId="17" applyFont="1" applyFill="1" applyBorder="1" applyProtection="1">
      <protection locked="0"/>
    </xf>
    <xf numFmtId="0" fontId="12" fillId="34" borderId="74" xfId="17" applyFont="1" applyFill="1" applyBorder="1" applyAlignment="1">
      <alignment vertical="center" wrapText="1"/>
    </xf>
    <xf numFmtId="0" fontId="12" fillId="34" borderId="71" xfId="17" applyFont="1" applyFill="1" applyBorder="1" applyAlignment="1">
      <alignment horizontal="center" vertical="center" wrapText="1"/>
    </xf>
    <xf numFmtId="0" fontId="41" fillId="16" borderId="75" xfId="17" applyFont="1" applyFill="1" applyBorder="1" applyProtection="1">
      <protection locked="0"/>
    </xf>
    <xf numFmtId="0" fontId="12" fillId="35" borderId="45" xfId="17" applyFont="1" applyFill="1" applyBorder="1" applyAlignment="1">
      <alignment horizontal="left" vertical="center"/>
    </xf>
    <xf numFmtId="0" fontId="12" fillId="15" borderId="0" xfId="17" applyFont="1" applyFill="1" applyBorder="1" applyAlignment="1">
      <alignment vertical="center"/>
    </xf>
    <xf numFmtId="0" fontId="12" fillId="15" borderId="40" xfId="17" applyFont="1" applyFill="1" applyBorder="1" applyAlignment="1">
      <alignment vertical="center"/>
    </xf>
    <xf numFmtId="0" fontId="12" fillId="15" borderId="15" xfId="17" applyFont="1" applyFill="1" applyBorder="1" applyAlignment="1">
      <alignment vertical="center"/>
    </xf>
    <xf numFmtId="0" fontId="12" fillId="5" borderId="39" xfId="17" applyFont="1" applyFill="1" applyBorder="1" applyAlignment="1">
      <alignment horizontal="center" vertical="center"/>
    </xf>
    <xf numFmtId="3" fontId="42" fillId="32" borderId="9" xfId="0" applyNumberFormat="1" applyFont="1" applyFill="1" applyBorder="1" applyAlignment="1">
      <alignment horizontal="center"/>
    </xf>
    <xf numFmtId="166" fontId="12" fillId="35" borderId="51" xfId="0" applyNumberFormat="1" applyFont="1" applyFill="1" applyBorder="1" applyAlignment="1">
      <alignment horizontal="center"/>
    </xf>
    <xf numFmtId="0" fontId="3" fillId="28" borderId="52" xfId="0" applyFont="1" applyFill="1" applyBorder="1" applyAlignment="1">
      <alignment horizontal="center" vertical="center" wrapText="1"/>
    </xf>
    <xf numFmtId="0" fontId="0" fillId="28" borderId="19" xfId="0" applyFill="1" applyBorder="1" applyAlignment="1">
      <alignment horizontal="center"/>
    </xf>
    <xf numFmtId="0" fontId="12" fillId="23" borderId="77" xfId="0" applyFont="1" applyFill="1" applyBorder="1"/>
    <xf numFmtId="0" fontId="3" fillId="23" borderId="78" xfId="0" applyFont="1" applyFill="1" applyBorder="1"/>
    <xf numFmtId="166" fontId="12" fillId="23" borderId="48" xfId="0" applyNumberFormat="1" applyFont="1" applyFill="1" applyBorder="1" applyAlignment="1">
      <alignment horizontal="center"/>
    </xf>
    <xf numFmtId="166" fontId="3" fillId="23" borderId="79" xfId="0" applyNumberFormat="1" applyFont="1" applyFill="1" applyBorder="1" applyAlignment="1"/>
    <xf numFmtId="0" fontId="3" fillId="23" borderId="79" xfId="0" applyFont="1" applyFill="1" applyBorder="1" applyAlignment="1">
      <alignment horizontal="center"/>
    </xf>
    <xf numFmtId="166" fontId="12" fillId="23" borderId="51" xfId="15" applyNumberFormat="1" applyFont="1" applyFill="1" applyBorder="1" applyAlignment="1">
      <alignment horizontal="center"/>
    </xf>
    <xf numFmtId="0" fontId="3" fillId="0" borderId="8" xfId="0" applyFont="1" applyBorder="1" applyAlignment="1">
      <alignment horizontal="right"/>
    </xf>
    <xf numFmtId="166" fontId="3" fillId="23" borderId="79" xfId="0" applyNumberFormat="1" applyFont="1" applyFill="1" applyBorder="1" applyAlignment="1">
      <alignment horizontal="center"/>
    </xf>
    <xf numFmtId="166" fontId="12" fillId="24" borderId="51" xfId="0" applyNumberFormat="1" applyFont="1" applyFill="1" applyBorder="1" applyAlignment="1">
      <alignment horizontal="center"/>
    </xf>
    <xf numFmtId="166" fontId="41" fillId="0" borderId="25" xfId="0" applyNumberFormat="1" applyFont="1" applyFill="1" applyBorder="1" applyAlignment="1">
      <alignment horizontal="center"/>
    </xf>
    <xf numFmtId="0" fontId="36" fillId="0" borderId="0" xfId="0" applyFont="1" applyAlignment="1">
      <alignment horizontal="left"/>
    </xf>
    <xf numFmtId="0" fontId="0" fillId="0" borderId="2" xfId="0" applyBorder="1"/>
    <xf numFmtId="0" fontId="0" fillId="0" borderId="0" xfId="0" applyBorder="1" applyAlignment="1">
      <alignment horizontal="center"/>
    </xf>
    <xf numFmtId="0" fontId="1" fillId="24" borderId="0" xfId="0" applyFont="1" applyFill="1"/>
    <xf numFmtId="0" fontId="0" fillId="24" borderId="0" xfId="0" applyFill="1"/>
    <xf numFmtId="0" fontId="1" fillId="23" borderId="0" xfId="0" applyFont="1" applyFill="1"/>
    <xf numFmtId="0" fontId="0" fillId="23" borderId="0" xfId="0" applyFill="1"/>
    <xf numFmtId="0" fontId="3" fillId="24" borderId="0" xfId="0" applyFont="1" applyFill="1"/>
    <xf numFmtId="0" fontId="3" fillId="23" borderId="0" xfId="0" applyFont="1" applyFill="1"/>
    <xf numFmtId="0" fontId="3" fillId="13" borderId="0" xfId="0" applyFont="1" applyFill="1"/>
    <xf numFmtId="0" fontId="0" fillId="0" borderId="4" xfId="0" applyBorder="1" applyAlignment="1">
      <alignment horizontal="left"/>
    </xf>
    <xf numFmtId="0" fontId="0" fillId="0" borderId="1" xfId="0" applyBorder="1" applyAlignment="1">
      <alignment horizontal="left"/>
    </xf>
    <xf numFmtId="0" fontId="3" fillId="26" borderId="0" xfId="0" applyFont="1" applyFill="1" applyBorder="1"/>
    <xf numFmtId="0" fontId="3" fillId="24" borderId="0" xfId="0" applyFont="1" applyFill="1" applyBorder="1" applyAlignment="1">
      <alignment horizontal="center"/>
    </xf>
    <xf numFmtId="0" fontId="3" fillId="23" borderId="0" xfId="0" applyFont="1" applyFill="1" applyBorder="1" applyAlignment="1">
      <alignment horizontal="center"/>
    </xf>
    <xf numFmtId="0" fontId="0" fillId="0" borderId="33" xfId="0" applyBorder="1"/>
    <xf numFmtId="0" fontId="0" fillId="0" borderId="39" xfId="0" applyBorder="1" applyAlignment="1">
      <alignment horizontal="center"/>
    </xf>
    <xf numFmtId="0" fontId="0" fillId="0" borderId="34" xfId="0" applyBorder="1" applyAlignment="1">
      <alignment horizontal="center"/>
    </xf>
    <xf numFmtId="0" fontId="3" fillId="38" borderId="0" xfId="0" applyFont="1" applyFill="1" applyAlignment="1">
      <alignment horizontal="center"/>
    </xf>
    <xf numFmtId="0" fontId="3" fillId="31" borderId="0" xfId="0" applyFont="1" applyFill="1" applyAlignment="1">
      <alignment horizontal="center"/>
    </xf>
    <xf numFmtId="0" fontId="3" fillId="0" borderId="0" xfId="0" applyFont="1" applyAlignment="1">
      <alignment horizontal="center"/>
    </xf>
    <xf numFmtId="3" fontId="3" fillId="0" borderId="0" xfId="0" applyNumberFormat="1" applyFont="1" applyAlignment="1">
      <alignment horizontal="center" wrapText="1"/>
    </xf>
    <xf numFmtId="0" fontId="0" fillId="0" borderId="19" xfId="0" applyBorder="1"/>
    <xf numFmtId="0" fontId="0" fillId="0" borderId="5"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38" borderId="0" xfId="0" applyFill="1"/>
    <xf numFmtId="3" fontId="3" fillId="0" borderId="0" xfId="0" applyNumberFormat="1" applyFont="1" applyAlignment="1">
      <alignment horizontal="center"/>
    </xf>
    <xf numFmtId="0" fontId="0" fillId="0" borderId="31" xfId="0" applyBorder="1"/>
    <xf numFmtId="178" fontId="3" fillId="0" borderId="0" xfId="36" applyNumberFormat="1" applyFont="1" applyBorder="1" applyAlignment="1">
      <alignment horizontal="center"/>
    </xf>
    <xf numFmtId="178" fontId="0" fillId="0" borderId="0" xfId="36" applyNumberFormat="1" applyFont="1" applyBorder="1" applyAlignment="1">
      <alignment horizontal="center"/>
    </xf>
    <xf numFmtId="178" fontId="0" fillId="0" borderId="0" xfId="36" applyNumberFormat="1" applyFont="1"/>
    <xf numFmtId="179" fontId="0" fillId="0" borderId="0" xfId="36" applyNumberFormat="1" applyFont="1" applyAlignment="1">
      <alignment horizontal="left"/>
    </xf>
    <xf numFmtId="178" fontId="3" fillId="38" borderId="0" xfId="36" applyNumberFormat="1" applyFont="1" applyFill="1"/>
    <xf numFmtId="178" fontId="0" fillId="38" borderId="0" xfId="36" applyNumberFormat="1" applyFont="1" applyFill="1"/>
    <xf numFmtId="178" fontId="3" fillId="31" borderId="0" xfId="36" applyNumberFormat="1" applyFont="1" applyFill="1"/>
    <xf numFmtId="178" fontId="3" fillId="0" borderId="0" xfId="36" applyNumberFormat="1" applyFont="1"/>
    <xf numFmtId="3" fontId="3" fillId="0" borderId="0" xfId="36" applyNumberFormat="1" applyFont="1"/>
    <xf numFmtId="3" fontId="0" fillId="0" borderId="0" xfId="36" applyNumberFormat="1" applyFont="1"/>
    <xf numFmtId="178" fontId="3" fillId="26" borderId="0" xfId="36" applyNumberFormat="1" applyFont="1" applyFill="1" applyBorder="1"/>
    <xf numFmtId="43" fontId="0" fillId="0" borderId="0" xfId="0" applyNumberFormat="1"/>
    <xf numFmtId="0" fontId="0" fillId="24" borderId="0" xfId="0" applyNumberFormat="1" applyFill="1"/>
    <xf numFmtId="0" fontId="0" fillId="23" borderId="0" xfId="0" applyNumberFormat="1" applyFill="1"/>
    <xf numFmtId="178" fontId="0" fillId="24" borderId="0" xfId="0" applyNumberFormat="1" applyFill="1"/>
    <xf numFmtId="44" fontId="0" fillId="24" borderId="0" xfId="0" applyNumberFormat="1" applyFill="1"/>
    <xf numFmtId="178" fontId="0" fillId="23" borderId="0" xfId="0" applyNumberFormat="1" applyFill="1"/>
    <xf numFmtId="178" fontId="0" fillId="0" borderId="0" xfId="0" applyNumberFormat="1" applyFill="1"/>
    <xf numFmtId="0" fontId="0" fillId="4" borderId="31" xfId="0" applyFill="1" applyBorder="1"/>
    <xf numFmtId="1" fontId="0" fillId="0" borderId="7" xfId="0" applyNumberFormat="1" applyBorder="1" applyAlignment="1">
      <alignment horizontal="center"/>
    </xf>
    <xf numFmtId="1" fontId="0" fillId="0" borderId="15" xfId="0" applyNumberFormat="1" applyBorder="1" applyAlignment="1">
      <alignment horizontal="center"/>
    </xf>
    <xf numFmtId="1" fontId="0" fillId="0" borderId="6" xfId="0" applyNumberFormat="1" applyBorder="1" applyAlignment="1">
      <alignment horizontal="center"/>
    </xf>
    <xf numFmtId="0" fontId="3" fillId="0" borderId="0" xfId="0" applyFont="1" applyBorder="1" applyAlignment="1">
      <alignment horizontal="center"/>
    </xf>
    <xf numFmtId="179" fontId="0" fillId="0" borderId="0" xfId="36" applyNumberFormat="1" applyFont="1"/>
    <xf numFmtId="178" fontId="0" fillId="0" borderId="30" xfId="36" applyNumberFormat="1" applyFont="1" applyBorder="1"/>
    <xf numFmtId="179" fontId="0" fillId="0" borderId="30" xfId="36" applyNumberFormat="1" applyFont="1" applyBorder="1"/>
    <xf numFmtId="178" fontId="3" fillId="38" borderId="30" xfId="36" applyNumberFormat="1" applyFont="1" applyFill="1" applyBorder="1"/>
    <xf numFmtId="178" fontId="0" fillId="38" borderId="30" xfId="36" applyNumberFormat="1" applyFont="1" applyFill="1" applyBorder="1"/>
    <xf numFmtId="178" fontId="3" fillId="31" borderId="30" xfId="36" applyNumberFormat="1" applyFont="1" applyFill="1" applyBorder="1"/>
    <xf numFmtId="178" fontId="3" fillId="0" borderId="30" xfId="36" applyNumberFormat="1" applyFont="1" applyBorder="1"/>
    <xf numFmtId="3" fontId="3" fillId="0" borderId="30" xfId="36" applyNumberFormat="1" applyFont="1" applyBorder="1"/>
    <xf numFmtId="3" fontId="0" fillId="0" borderId="30" xfId="36" applyNumberFormat="1" applyFont="1" applyBorder="1"/>
    <xf numFmtId="178" fontId="0" fillId="24" borderId="30" xfId="0" applyNumberFormat="1" applyFill="1" applyBorder="1"/>
    <xf numFmtId="178" fontId="0" fillId="23" borderId="30" xfId="0" applyNumberFormat="1" applyFill="1" applyBorder="1"/>
    <xf numFmtId="1" fontId="0" fillId="0" borderId="0" xfId="0" applyNumberFormat="1" applyBorder="1" applyAlignment="1">
      <alignment horizontal="center"/>
    </xf>
    <xf numFmtId="0" fontId="0" fillId="0" borderId="7" xfId="0"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0" fillId="0" borderId="5" xfId="0" applyBorder="1"/>
    <xf numFmtId="0" fontId="0" fillId="0" borderId="31" xfId="0" applyBorder="1" applyAlignment="1">
      <alignment horizontal="center"/>
    </xf>
    <xf numFmtId="178" fontId="3" fillId="26" borderId="0" xfId="36" applyNumberFormat="1" applyFont="1" applyFill="1"/>
    <xf numFmtId="0" fontId="0" fillId="0" borderId="7" xfId="0" applyBorder="1"/>
    <xf numFmtId="178" fontId="0" fillId="0" borderId="30" xfId="0" applyNumberFormat="1" applyBorder="1"/>
    <xf numFmtId="1" fontId="0" fillId="0" borderId="30" xfId="0" applyNumberFormat="1" applyBorder="1"/>
    <xf numFmtId="178" fontId="3" fillId="0" borderId="30" xfId="0" applyNumberFormat="1" applyFont="1" applyBorder="1"/>
    <xf numFmtId="3" fontId="0" fillId="0" borderId="30" xfId="0" applyNumberFormat="1" applyBorder="1"/>
    <xf numFmtId="178" fontId="0" fillId="0" borderId="0" xfId="0" applyNumberFormat="1"/>
    <xf numFmtId="178" fontId="3" fillId="0" borderId="0" xfId="0" applyNumberFormat="1" applyFont="1"/>
    <xf numFmtId="6" fontId="0" fillId="3" borderId="0" xfId="0" applyNumberFormat="1" applyFill="1"/>
    <xf numFmtId="178" fontId="3" fillId="38" borderId="0" xfId="0" applyNumberFormat="1" applyFont="1" applyFill="1"/>
    <xf numFmtId="178" fontId="3" fillId="31" borderId="0" xfId="0" applyNumberFormat="1" applyFont="1" applyFill="1"/>
    <xf numFmtId="6" fontId="0" fillId="26" borderId="0" xfId="0" applyNumberFormat="1" applyFill="1"/>
    <xf numFmtId="0" fontId="3" fillId="0" borderId="78" xfId="0" applyFont="1" applyFill="1" applyBorder="1"/>
    <xf numFmtId="0" fontId="3" fillId="28" borderId="47" xfId="0" applyFont="1" applyFill="1" applyBorder="1" applyAlignment="1">
      <alignment horizontal="center" vertical="center" wrapText="1"/>
    </xf>
    <xf numFmtId="0" fontId="3" fillId="0" borderId="27" xfId="0" applyFont="1" applyBorder="1" applyAlignment="1">
      <alignment horizontal="left" vertical="center"/>
    </xf>
    <xf numFmtId="0" fontId="0" fillId="0" borderId="28" xfId="0" applyBorder="1" applyAlignment="1">
      <alignment horizontal="left" wrapText="1"/>
    </xf>
    <xf numFmtId="166" fontId="41" fillId="8" borderId="42" xfId="15" applyNumberFormat="1" applyFont="1" applyFill="1" applyBorder="1" applyAlignment="1">
      <alignment horizontal="center"/>
    </xf>
    <xf numFmtId="1" fontId="41" fillId="0" borderId="29" xfId="0" applyNumberFormat="1" applyFont="1" applyFill="1" applyBorder="1" applyAlignment="1">
      <alignment horizontal="center"/>
    </xf>
    <xf numFmtId="166" fontId="41" fillId="0" borderId="83" xfId="0" applyNumberFormat="1" applyFont="1" applyFill="1" applyBorder="1" applyAlignment="1">
      <alignment horizontal="center"/>
    </xf>
    <xf numFmtId="166" fontId="12" fillId="32" borderId="9" xfId="0" applyNumberFormat="1" applyFont="1" applyFill="1" applyBorder="1" applyAlignment="1">
      <alignment horizontal="center"/>
    </xf>
    <xf numFmtId="166" fontId="41" fillId="0" borderId="25" xfId="0" applyNumberFormat="1" applyFont="1" applyBorder="1" applyAlignment="1">
      <alignment horizontal="center"/>
    </xf>
    <xf numFmtId="166" fontId="3" fillId="28" borderId="23" xfId="0" applyNumberFormat="1" applyFont="1" applyFill="1" applyBorder="1" applyAlignment="1">
      <alignment horizontal="center"/>
    </xf>
    <xf numFmtId="166" fontId="41" fillId="16" borderId="66" xfId="17" applyNumberFormat="1" applyFont="1" applyFill="1" applyBorder="1" applyAlignment="1" applyProtection="1">
      <alignment horizontal="center"/>
      <protection locked="0"/>
    </xf>
    <xf numFmtId="166" fontId="41" fillId="16" borderId="76" xfId="17" applyNumberFormat="1" applyFont="1" applyFill="1" applyBorder="1" applyAlignment="1" applyProtection="1">
      <alignment horizontal="center"/>
      <protection locked="0"/>
    </xf>
    <xf numFmtId="0" fontId="3" fillId="0" borderId="24" xfId="0" applyFont="1" applyBorder="1" applyAlignment="1">
      <alignment horizontal="center" wrapText="1"/>
    </xf>
    <xf numFmtId="179" fontId="0" fillId="0" borderId="0" xfId="36" applyNumberFormat="1" applyFont="1" applyAlignment="1">
      <alignment horizontal="center"/>
    </xf>
    <xf numFmtId="179" fontId="3" fillId="0" borderId="17" xfId="0" applyNumberFormat="1" applyFont="1" applyBorder="1" applyAlignment="1">
      <alignment horizontal="center"/>
    </xf>
    <xf numFmtId="0" fontId="4" fillId="0" borderId="0" xfId="0" applyNumberFormat="1" applyFont="1" applyFill="1" applyAlignment="1">
      <alignment horizontal="center"/>
    </xf>
    <xf numFmtId="0" fontId="1" fillId="0" borderId="0" xfId="0" applyFont="1" applyAlignment="1">
      <alignment horizontal="center"/>
    </xf>
    <xf numFmtId="0" fontId="1" fillId="0" borderId="0" xfId="0" applyNumberFormat="1" applyFont="1" applyFill="1" applyAlignment="1">
      <alignment horizontal="center"/>
    </xf>
    <xf numFmtId="179" fontId="3" fillId="0" borderId="45" xfId="0" applyNumberFormat="1" applyFont="1" applyBorder="1" applyAlignment="1">
      <alignment horizontal="center"/>
    </xf>
    <xf numFmtId="179" fontId="3" fillId="0" borderId="48" xfId="0" applyNumberFormat="1" applyFont="1" applyBorder="1" applyAlignment="1">
      <alignment horizontal="center"/>
    </xf>
    <xf numFmtId="179" fontId="3" fillId="0" borderId="0" xfId="0" applyNumberFormat="1" applyFont="1" applyFill="1" applyBorder="1" applyAlignment="1">
      <alignment horizontal="center"/>
    </xf>
    <xf numFmtId="166" fontId="3" fillId="0" borderId="24" xfId="0" applyNumberFormat="1" applyFont="1" applyBorder="1" applyAlignment="1">
      <alignment horizontal="center" wrapText="1"/>
    </xf>
    <xf numFmtId="166" fontId="3" fillId="0" borderId="48" xfId="0" applyNumberFormat="1" applyFont="1" applyBorder="1" applyAlignment="1">
      <alignment horizontal="center"/>
    </xf>
    <xf numFmtId="166" fontId="0" fillId="0" borderId="0" xfId="36" applyNumberFormat="1" applyFont="1" applyAlignment="1">
      <alignment horizontal="center"/>
    </xf>
    <xf numFmtId="166" fontId="3" fillId="0" borderId="45" xfId="0" applyNumberFormat="1" applyFont="1" applyBorder="1" applyAlignment="1">
      <alignment horizontal="center"/>
    </xf>
    <xf numFmtId="166" fontId="3" fillId="0" borderId="0" xfId="0" applyNumberFormat="1" applyFont="1" applyAlignment="1">
      <alignment horizontal="center" wrapText="1"/>
    </xf>
    <xf numFmtId="166" fontId="0" fillId="0" borderId="0" xfId="0" applyNumberFormat="1" applyAlignment="1">
      <alignment wrapText="1"/>
    </xf>
    <xf numFmtId="3" fontId="3" fillId="0" borderId="48" xfId="0" applyNumberFormat="1" applyFont="1" applyBorder="1" applyAlignment="1">
      <alignment horizontal="center"/>
    </xf>
    <xf numFmtId="166" fontId="3" fillId="0" borderId="0" xfId="0" applyNumberFormat="1" applyFont="1" applyAlignment="1">
      <alignment wrapText="1"/>
    </xf>
    <xf numFmtId="3" fontId="3" fillId="0" borderId="17" xfId="0" applyNumberFormat="1" applyFont="1" applyBorder="1" applyAlignment="1">
      <alignment horizontal="center"/>
    </xf>
    <xf numFmtId="166" fontId="0" fillId="0" borderId="0" xfId="0" applyNumberFormat="1" applyFill="1" applyBorder="1" applyAlignment="1">
      <alignment horizontal="center"/>
    </xf>
    <xf numFmtId="166" fontId="0" fillId="0" borderId="0" xfId="0" applyNumberFormat="1" applyBorder="1" applyAlignment="1">
      <alignment horizontal="center"/>
    </xf>
    <xf numFmtId="0" fontId="1" fillId="0" borderId="0" xfId="0" applyFont="1" applyAlignment="1">
      <alignment wrapText="1"/>
    </xf>
    <xf numFmtId="0" fontId="0" fillId="0" borderId="0" xfId="0" applyAlignment="1">
      <alignment horizontal="center"/>
    </xf>
    <xf numFmtId="3" fontId="3" fillId="0" borderId="48" xfId="0" applyNumberFormat="1" applyFont="1" applyBorder="1" applyAlignment="1">
      <alignment horizontal="center"/>
    </xf>
    <xf numFmtId="3" fontId="1" fillId="0" borderId="0" xfId="0" applyNumberFormat="1" applyFont="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xf>
    <xf numFmtId="0" fontId="0" fillId="26" borderId="9" xfId="0" applyFill="1" applyBorder="1" applyAlignment="1">
      <alignment horizontal="center"/>
    </xf>
    <xf numFmtId="0" fontId="1" fillId="0" borderId="0" xfId="0" applyFont="1" applyBorder="1"/>
    <xf numFmtId="0" fontId="12" fillId="15" borderId="0" xfId="17" applyFont="1" applyFill="1" applyBorder="1" applyAlignment="1">
      <alignment vertical="center" wrapText="1"/>
    </xf>
    <xf numFmtId="166" fontId="3" fillId="23" borderId="78" xfId="0" applyNumberFormat="1" applyFont="1" applyFill="1" applyBorder="1"/>
    <xf numFmtId="0" fontId="3" fillId="0" borderId="26" xfId="0" applyFont="1" applyBorder="1" applyAlignment="1">
      <alignment horizontal="center" wrapText="1"/>
    </xf>
    <xf numFmtId="179" fontId="0" fillId="0" borderId="0" xfId="36" applyNumberFormat="1" applyFont="1" applyBorder="1" applyAlignment="1">
      <alignment horizontal="center"/>
    </xf>
    <xf numFmtId="0" fontId="3" fillId="0" borderId="24" xfId="0" applyNumberFormat="1" applyFont="1" applyBorder="1" applyAlignment="1">
      <alignment horizontal="center" wrapText="1"/>
    </xf>
    <xf numFmtId="0" fontId="0" fillId="0" borderId="0" xfId="0" applyNumberFormat="1" applyAlignment="1">
      <alignment horizontal="center"/>
    </xf>
    <xf numFmtId="166" fontId="1" fillId="0" borderId="0" xfId="0" applyNumberFormat="1" applyFont="1" applyAlignment="1">
      <alignment horizontal="center"/>
    </xf>
    <xf numFmtId="166" fontId="3" fillId="0" borderId="0" xfId="0" applyNumberFormat="1" applyFont="1" applyAlignment="1">
      <alignment horizontal="center"/>
    </xf>
    <xf numFmtId="0" fontId="3" fillId="0" borderId="0" xfId="0" applyNumberFormat="1" applyFont="1" applyFill="1"/>
    <xf numFmtId="0" fontId="3" fillId="0" borderId="39" xfId="0" applyFont="1" applyBorder="1"/>
    <xf numFmtId="3" fontId="3" fillId="0" borderId="45" xfId="0" applyNumberFormat="1" applyFont="1" applyFill="1" applyBorder="1"/>
    <xf numFmtId="0" fontId="3" fillId="0" borderId="48" xfId="0" applyNumberFormat="1" applyFont="1" applyFill="1" applyBorder="1"/>
    <xf numFmtId="166" fontId="3" fillId="0" borderId="46" xfId="0" applyNumberFormat="1" applyFont="1" applyBorder="1" applyAlignment="1">
      <alignment horizontal="center"/>
    </xf>
    <xf numFmtId="166" fontId="3" fillId="0" borderId="36" xfId="0" applyNumberFormat="1" applyFont="1" applyBorder="1" applyAlignment="1">
      <alignment horizontal="center"/>
    </xf>
    <xf numFmtId="166" fontId="3" fillId="0" borderId="18" xfId="0" applyNumberFormat="1" applyFont="1" applyBorder="1" applyAlignment="1">
      <alignment horizontal="center"/>
    </xf>
    <xf numFmtId="0" fontId="0" fillId="0" borderId="0" xfId="0" applyAlignment="1">
      <alignment horizontal="center"/>
    </xf>
    <xf numFmtId="166" fontId="41" fillId="26" borderId="0" xfId="17" applyNumberFormat="1" applyFont="1" applyFill="1" applyBorder="1"/>
    <xf numFmtId="0" fontId="36" fillId="0" borderId="0" xfId="15" applyFont="1" applyAlignment="1">
      <alignment horizontal="left"/>
    </xf>
    <xf numFmtId="0" fontId="1" fillId="0" borderId="0" xfId="15"/>
    <xf numFmtId="3" fontId="1" fillId="0" borderId="0" xfId="15" applyNumberFormat="1"/>
    <xf numFmtId="0" fontId="1" fillId="0" borderId="0" xfId="15" applyFill="1"/>
    <xf numFmtId="0" fontId="1" fillId="0" borderId="2" xfId="15" applyBorder="1"/>
    <xf numFmtId="0" fontId="1" fillId="0" borderId="0" xfId="15" applyBorder="1" applyAlignment="1">
      <alignment horizontal="center"/>
    </xf>
    <xf numFmtId="3" fontId="1" fillId="0" borderId="0" xfId="15" applyNumberFormat="1" applyBorder="1" applyAlignment="1">
      <alignment horizontal="center"/>
    </xf>
    <xf numFmtId="0" fontId="1" fillId="31" borderId="0" xfId="15" applyFill="1"/>
    <xf numFmtId="0" fontId="1" fillId="26" borderId="0" xfId="15" applyFill="1" applyBorder="1"/>
    <xf numFmtId="0" fontId="1" fillId="24" borderId="0" xfId="15" applyFont="1" applyFill="1"/>
    <xf numFmtId="0" fontId="1" fillId="24" borderId="0" xfId="15" applyFill="1"/>
    <xf numFmtId="0" fontId="1" fillId="23" borderId="0" xfId="15" applyFont="1" applyFill="1"/>
    <xf numFmtId="0" fontId="1" fillId="23" borderId="0" xfId="15" applyFill="1"/>
    <xf numFmtId="0" fontId="3" fillId="24" borderId="0" xfId="15" applyFont="1" applyFill="1"/>
    <xf numFmtId="0" fontId="3" fillId="23" borderId="0" xfId="15" applyFont="1" applyFill="1"/>
    <xf numFmtId="0" fontId="3" fillId="0" borderId="0" xfId="15" applyFont="1" applyFill="1" applyAlignment="1">
      <alignment horizontal="center"/>
    </xf>
    <xf numFmtId="0" fontId="3" fillId="0" borderId="19" xfId="15" applyFont="1" applyBorder="1"/>
    <xf numFmtId="0" fontId="3" fillId="0" borderId="0" xfId="15" applyFont="1" applyBorder="1"/>
    <xf numFmtId="0" fontId="3" fillId="13" borderId="0" xfId="15" applyFont="1" applyFill="1"/>
    <xf numFmtId="0" fontId="1" fillId="0" borderId="4" xfId="15" applyBorder="1" applyAlignment="1">
      <alignment horizontal="left"/>
    </xf>
    <xf numFmtId="0" fontId="1" fillId="0" borderId="1" xfId="15" applyBorder="1" applyAlignment="1">
      <alignment horizontal="left"/>
    </xf>
    <xf numFmtId="0" fontId="1" fillId="0" borderId="3" xfId="15" applyBorder="1" applyAlignment="1">
      <alignment horizontal="left"/>
    </xf>
    <xf numFmtId="0" fontId="1" fillId="31" borderId="0" xfId="15" applyFont="1" applyFill="1"/>
    <xf numFmtId="0" fontId="1" fillId="0" borderId="0" xfId="15" applyFont="1"/>
    <xf numFmtId="3" fontId="1" fillId="0" borderId="0" xfId="15" applyNumberFormat="1" applyFont="1"/>
    <xf numFmtId="0" fontId="3" fillId="0" borderId="0" xfId="15" applyFont="1"/>
    <xf numFmtId="0" fontId="3" fillId="26" borderId="0" xfId="15" applyFont="1" applyFill="1" applyBorder="1"/>
    <xf numFmtId="0" fontId="3" fillId="24" borderId="0" xfId="15" applyFont="1" applyFill="1" applyBorder="1" applyAlignment="1">
      <alignment horizontal="center"/>
    </xf>
    <xf numFmtId="0" fontId="3" fillId="23" borderId="0" xfId="15" applyFont="1" applyFill="1" applyBorder="1" applyAlignment="1">
      <alignment horizontal="center"/>
    </xf>
    <xf numFmtId="0" fontId="3" fillId="0" borderId="0" xfId="15" applyFont="1" applyFill="1" applyBorder="1" applyAlignment="1">
      <alignment horizontal="center"/>
    </xf>
    <xf numFmtId="0" fontId="1" fillId="0" borderId="33" xfId="15" applyBorder="1"/>
    <xf numFmtId="0" fontId="1" fillId="0" borderId="0" xfId="15" applyBorder="1"/>
    <xf numFmtId="0" fontId="1" fillId="0" borderId="39" xfId="15" applyBorder="1" applyAlignment="1">
      <alignment horizontal="center"/>
    </xf>
    <xf numFmtId="0" fontId="1" fillId="0" borderId="34" xfId="15" applyBorder="1" applyAlignment="1">
      <alignment horizontal="center"/>
    </xf>
    <xf numFmtId="0" fontId="3" fillId="38" borderId="0" xfId="15" applyFont="1" applyFill="1" applyAlignment="1">
      <alignment horizontal="center"/>
    </xf>
    <xf numFmtId="0" fontId="3" fillId="31" borderId="0" xfId="15" applyFont="1" applyFill="1" applyAlignment="1">
      <alignment horizontal="center"/>
    </xf>
    <xf numFmtId="0" fontId="3" fillId="0" borderId="0" xfId="15" applyFont="1" applyAlignment="1">
      <alignment horizontal="center"/>
    </xf>
    <xf numFmtId="3" fontId="3" fillId="0" borderId="0" xfId="15" applyNumberFormat="1" applyFont="1" applyAlignment="1">
      <alignment horizontal="center" wrapText="1"/>
    </xf>
    <xf numFmtId="0" fontId="3" fillId="0" borderId="0" xfId="15" applyFont="1" applyAlignment="1">
      <alignment wrapText="1"/>
    </xf>
    <xf numFmtId="3" fontId="3" fillId="0" borderId="0" xfId="15" applyNumberFormat="1" applyFont="1" applyAlignment="1">
      <alignment wrapText="1"/>
    </xf>
    <xf numFmtId="0" fontId="3" fillId="0" borderId="0" xfId="15" applyFont="1" applyAlignment="1">
      <alignment horizontal="center" wrapText="1"/>
    </xf>
    <xf numFmtId="0" fontId="1" fillId="0" borderId="19" xfId="15" applyBorder="1"/>
    <xf numFmtId="0" fontId="1" fillId="0" borderId="5" xfId="15" applyBorder="1" applyAlignment="1">
      <alignment horizontal="center"/>
    </xf>
    <xf numFmtId="0" fontId="1" fillId="0" borderId="37" xfId="15" applyBorder="1" applyAlignment="1">
      <alignment horizontal="center"/>
    </xf>
    <xf numFmtId="0" fontId="1" fillId="0" borderId="38" xfId="15" applyBorder="1" applyAlignment="1">
      <alignment horizontal="center"/>
    </xf>
    <xf numFmtId="0" fontId="1" fillId="38" borderId="0" xfId="15" applyFill="1"/>
    <xf numFmtId="3" fontId="3" fillId="0" borderId="0" xfId="15" applyNumberFormat="1" applyFont="1" applyAlignment="1">
      <alignment horizontal="center"/>
    </xf>
    <xf numFmtId="0" fontId="1" fillId="0" borderId="31" xfId="15" applyBorder="1"/>
    <xf numFmtId="0" fontId="1" fillId="0" borderId="0" xfId="15" applyNumberFormat="1" applyFont="1" applyFill="1" applyAlignment="1">
      <alignment horizontal="center"/>
    </xf>
    <xf numFmtId="6" fontId="1" fillId="0" borderId="0" xfId="15" applyNumberFormat="1"/>
    <xf numFmtId="43" fontId="1" fillId="0" borderId="0" xfId="15" applyNumberFormat="1"/>
    <xf numFmtId="0" fontId="1" fillId="24" borderId="0" xfId="15" applyNumberFormat="1" applyFill="1"/>
    <xf numFmtId="0" fontId="1" fillId="23" borderId="0" xfId="15" applyNumberFormat="1" applyFill="1"/>
    <xf numFmtId="178" fontId="1" fillId="24" borderId="0" xfId="15" applyNumberFormat="1" applyFill="1"/>
    <xf numFmtId="44" fontId="1" fillId="24" borderId="0" xfId="15" applyNumberFormat="1" applyFill="1"/>
    <xf numFmtId="178" fontId="1" fillId="23" borderId="0" xfId="15" applyNumberFormat="1" applyFill="1"/>
    <xf numFmtId="178" fontId="1" fillId="0" borderId="0" xfId="15" applyNumberFormat="1" applyFill="1"/>
    <xf numFmtId="0" fontId="1" fillId="4" borderId="31" xfId="15" applyFill="1" applyBorder="1"/>
    <xf numFmtId="1" fontId="1" fillId="0" borderId="7" xfId="15" applyNumberFormat="1" applyBorder="1" applyAlignment="1">
      <alignment horizontal="center"/>
    </xf>
    <xf numFmtId="1" fontId="1" fillId="0" borderId="15" xfId="15" applyNumberFormat="1" applyBorder="1" applyAlignment="1">
      <alignment horizontal="center"/>
    </xf>
    <xf numFmtId="1" fontId="1" fillId="0" borderId="6" xfId="15" applyNumberFormat="1" applyBorder="1" applyAlignment="1">
      <alignment horizontal="center"/>
    </xf>
    <xf numFmtId="0" fontId="3" fillId="0" borderId="0" xfId="15" applyFont="1" applyBorder="1" applyAlignment="1">
      <alignment horizontal="center"/>
    </xf>
    <xf numFmtId="178" fontId="1" fillId="24" borderId="30" xfId="15" applyNumberFormat="1" applyFill="1" applyBorder="1"/>
    <xf numFmtId="178" fontId="1" fillId="23" borderId="30" xfId="15" applyNumberFormat="1" applyFill="1" applyBorder="1"/>
    <xf numFmtId="1" fontId="1" fillId="0" borderId="0" xfId="15" applyNumberFormat="1" applyBorder="1" applyAlignment="1">
      <alignment horizontal="center"/>
    </xf>
    <xf numFmtId="1" fontId="1" fillId="0" borderId="0" xfId="15" applyNumberFormat="1" applyAlignment="1">
      <alignment horizontal="center"/>
    </xf>
    <xf numFmtId="0" fontId="1" fillId="0" borderId="7" xfId="15" applyBorder="1" applyAlignment="1">
      <alignment horizontal="center"/>
    </xf>
    <xf numFmtId="0" fontId="1" fillId="0" borderId="15" xfId="15" applyBorder="1" applyAlignment="1">
      <alignment horizontal="center"/>
    </xf>
    <xf numFmtId="0" fontId="1" fillId="0" borderId="6" xfId="15" applyBorder="1" applyAlignment="1">
      <alignment horizontal="center"/>
    </xf>
    <xf numFmtId="0" fontId="1" fillId="0" borderId="5" xfId="15" applyBorder="1"/>
    <xf numFmtId="0" fontId="1" fillId="0" borderId="31" xfId="15" applyBorder="1" applyAlignment="1">
      <alignment horizontal="center"/>
    </xf>
    <xf numFmtId="0" fontId="1" fillId="0" borderId="7" xfId="15" applyBorder="1"/>
    <xf numFmtId="1" fontId="1" fillId="0" borderId="0" xfId="15" applyNumberFormat="1"/>
    <xf numFmtId="178" fontId="1" fillId="0" borderId="30" xfId="15" applyNumberFormat="1" applyBorder="1"/>
    <xf numFmtId="1" fontId="1" fillId="0" borderId="30" xfId="15" applyNumberFormat="1" applyBorder="1"/>
    <xf numFmtId="178" fontId="3" fillId="0" borderId="30" xfId="15" applyNumberFormat="1" applyFont="1" applyBorder="1"/>
    <xf numFmtId="3" fontId="1" fillId="0" borderId="30" xfId="15" applyNumberFormat="1" applyBorder="1"/>
    <xf numFmtId="178" fontId="1" fillId="0" borderId="0" xfId="15" applyNumberFormat="1"/>
    <xf numFmtId="178" fontId="3" fillId="0" borderId="0" xfId="15" applyNumberFormat="1" applyFont="1"/>
    <xf numFmtId="6" fontId="1" fillId="3" borderId="0" xfId="15" applyNumberFormat="1" applyFill="1"/>
    <xf numFmtId="6" fontId="1" fillId="0" borderId="0" xfId="15" applyNumberFormat="1" applyFill="1"/>
    <xf numFmtId="4" fontId="1" fillId="0" borderId="0" xfId="15" applyNumberFormat="1"/>
    <xf numFmtId="178" fontId="3" fillId="38" borderId="0" xfId="15" applyNumberFormat="1" applyFont="1" applyFill="1"/>
    <xf numFmtId="178" fontId="3" fillId="31" borderId="0" xfId="15" applyNumberFormat="1" applyFont="1" applyFill="1"/>
    <xf numFmtId="6" fontId="1" fillId="26" borderId="0" xfId="15" applyNumberFormat="1" applyFill="1"/>
    <xf numFmtId="0" fontId="12" fillId="0" borderId="24" xfId="0" applyFont="1" applyBorder="1" applyAlignment="1">
      <alignment horizontal="left" vertical="center"/>
    </xf>
    <xf numFmtId="0" fontId="41" fillId="0" borderId="0" xfId="0" applyFont="1"/>
    <xf numFmtId="0" fontId="12" fillId="28" borderId="20" xfId="0" applyFont="1" applyFill="1" applyBorder="1" applyAlignment="1">
      <alignment horizontal="center" vertical="center" wrapText="1"/>
    </xf>
    <xf numFmtId="0" fontId="12" fillId="28" borderId="49" xfId="0" applyFont="1" applyFill="1" applyBorder="1" applyAlignment="1">
      <alignment horizontal="center" vertical="center" wrapText="1"/>
    </xf>
    <xf numFmtId="0" fontId="12" fillId="28" borderId="43" xfId="0" applyFont="1" applyFill="1" applyBorder="1" applyAlignment="1">
      <alignment horizontal="center" vertical="center" wrapText="1"/>
    </xf>
    <xf numFmtId="0" fontId="12" fillId="28" borderId="7" xfId="0" applyFont="1" applyFill="1" applyBorder="1" applyAlignment="1">
      <alignment horizontal="center" vertical="center" wrapText="1"/>
    </xf>
    <xf numFmtId="0" fontId="3" fillId="28" borderId="10" xfId="0" applyFont="1" applyFill="1" applyBorder="1" applyAlignment="1">
      <alignment horizontal="center" vertical="center" wrapText="1"/>
    </xf>
    <xf numFmtId="0" fontId="12" fillId="28" borderId="10" xfId="0" applyFont="1" applyFill="1" applyBorder="1" applyAlignment="1">
      <alignment horizontal="center" vertical="center" wrapText="1"/>
    </xf>
    <xf numFmtId="0" fontId="12" fillId="28" borderId="0" xfId="0" applyFont="1" applyFill="1" applyBorder="1" applyAlignment="1">
      <alignment horizontal="center" vertical="center" wrapText="1"/>
    </xf>
    <xf numFmtId="0" fontId="12" fillId="23" borderId="48" xfId="0" applyFont="1" applyFill="1" applyBorder="1"/>
    <xf numFmtId="0" fontId="12" fillId="0" borderId="48" xfId="0" applyFont="1" applyFill="1" applyBorder="1"/>
    <xf numFmtId="166" fontId="41" fillId="28" borderId="82" xfId="0" applyNumberFormat="1" applyFont="1" applyFill="1" applyBorder="1" applyAlignment="1">
      <alignment horizontal="center"/>
    </xf>
    <xf numFmtId="0" fontId="12" fillId="0" borderId="10" xfId="0" applyFont="1" applyFill="1" applyBorder="1" applyAlignment="1"/>
    <xf numFmtId="0" fontId="12" fillId="0" borderId="11" xfId="0" applyFont="1" applyFill="1" applyBorder="1" applyAlignment="1"/>
    <xf numFmtId="0" fontId="41" fillId="0" borderId="1" xfId="0" applyFont="1" applyBorder="1" applyAlignment="1">
      <alignment horizontal="center" vertical="center"/>
    </xf>
    <xf numFmtId="0" fontId="41" fillId="28" borderId="10" xfId="0" applyFont="1" applyFill="1" applyBorder="1" applyAlignment="1">
      <alignment horizontal="center" vertical="center" wrapText="1"/>
    </xf>
    <xf numFmtId="0" fontId="41" fillId="28" borderId="49" xfId="0" applyFont="1" applyFill="1" applyBorder="1" applyAlignment="1">
      <alignment horizontal="center" vertical="center" wrapText="1"/>
    </xf>
    <xf numFmtId="6" fontId="41" fillId="0" borderId="4" xfId="0" applyNumberFormat="1" applyFont="1" applyBorder="1" applyAlignment="1">
      <alignment horizontal="center" vertical="center" wrapText="1"/>
    </xf>
    <xf numFmtId="166" fontId="12" fillId="0" borderId="81" xfId="0" applyNumberFormat="1" applyFont="1" applyFill="1" applyBorder="1" applyAlignment="1">
      <alignment horizontal="center" vertical="center"/>
    </xf>
    <xf numFmtId="166" fontId="12" fillId="23" borderId="51" xfId="0" applyNumberFormat="1" applyFont="1" applyFill="1" applyBorder="1" applyAlignment="1">
      <alignment horizontal="center" vertical="center"/>
    </xf>
    <xf numFmtId="0" fontId="12" fillId="23" borderId="77" xfId="0" applyFont="1" applyFill="1" applyBorder="1" applyAlignment="1">
      <alignment vertical="center"/>
    </xf>
    <xf numFmtId="0" fontId="12" fillId="0" borderId="77" xfId="0" applyFont="1" applyFill="1" applyBorder="1" applyAlignment="1">
      <alignment vertical="center"/>
    </xf>
    <xf numFmtId="166" fontId="12" fillId="0" borderId="84" xfId="0" applyNumberFormat="1" applyFont="1" applyFill="1" applyBorder="1" applyAlignment="1">
      <alignment horizontal="center" vertical="center"/>
    </xf>
    <xf numFmtId="0" fontId="12" fillId="0" borderId="24" xfId="0" applyFont="1" applyBorder="1" applyAlignment="1">
      <alignment vertical="center"/>
    </xf>
    <xf numFmtId="0" fontId="3" fillId="25" borderId="0" xfId="0" applyFont="1" applyFill="1"/>
    <xf numFmtId="0" fontId="3" fillId="25" borderId="0" xfId="0" applyFont="1" applyFill="1" applyAlignment="1">
      <alignment horizontal="center"/>
    </xf>
    <xf numFmtId="0" fontId="3" fillId="25" borderId="0" xfId="0" applyFont="1" applyFill="1" applyAlignment="1">
      <alignment wrapText="1"/>
    </xf>
    <xf numFmtId="0" fontId="3" fillId="25" borderId="0" xfId="0" applyFont="1" applyFill="1" applyAlignment="1">
      <alignment horizontal="center" wrapText="1"/>
    </xf>
    <xf numFmtId="0" fontId="0" fillId="25" borderId="0" xfId="0" applyFill="1"/>
    <xf numFmtId="0" fontId="1" fillId="25" borderId="0" xfId="0" applyFont="1" applyFill="1" applyAlignment="1">
      <alignment horizontal="center"/>
    </xf>
    <xf numFmtId="166" fontId="0" fillId="25" borderId="0" xfId="0" applyNumberFormat="1" applyFill="1"/>
    <xf numFmtId="3" fontId="3" fillId="25" borderId="0" xfId="0" applyNumberFormat="1" applyFont="1" applyFill="1"/>
    <xf numFmtId="0" fontId="0" fillId="25" borderId="0" xfId="0" applyFill="1" applyAlignment="1">
      <alignment horizontal="center"/>
    </xf>
    <xf numFmtId="166" fontId="0" fillId="25" borderId="0" xfId="0" applyNumberFormat="1" applyFill="1" applyAlignment="1">
      <alignment horizontal="center"/>
    </xf>
    <xf numFmtId="166" fontId="3" fillId="25" borderId="0" xfId="0" applyNumberFormat="1" applyFont="1" applyFill="1" applyAlignment="1">
      <alignment horizontal="center"/>
    </xf>
    <xf numFmtId="3" fontId="3" fillId="23" borderId="0" xfId="0" applyNumberFormat="1" applyFont="1" applyFill="1"/>
    <xf numFmtId="0" fontId="3" fillId="23" borderId="0" xfId="0" applyNumberFormat="1" applyFont="1" applyFill="1"/>
    <xf numFmtId="0" fontId="3" fillId="23" borderId="0" xfId="0" applyFont="1" applyFill="1" applyAlignment="1">
      <alignment horizontal="center"/>
    </xf>
    <xf numFmtId="0" fontId="0" fillId="23" borderId="0" xfId="0" applyFill="1" applyAlignment="1">
      <alignment wrapText="1"/>
    </xf>
    <xf numFmtId="0" fontId="3" fillId="23" borderId="0" xfId="0" applyFont="1" applyFill="1" applyAlignment="1">
      <alignment horizontal="center" wrapText="1"/>
    </xf>
    <xf numFmtId="0" fontId="1" fillId="23" borderId="0" xfId="0" applyFont="1" applyFill="1" applyAlignment="1">
      <alignment horizontal="center"/>
    </xf>
    <xf numFmtId="166" fontId="0" fillId="23" borderId="0" xfId="0" applyNumberFormat="1" applyFill="1" applyAlignment="1">
      <alignment horizontal="center"/>
    </xf>
    <xf numFmtId="166" fontId="3" fillId="23" borderId="0" xfId="0" applyNumberFormat="1" applyFont="1" applyFill="1" applyAlignment="1">
      <alignment horizontal="center"/>
    </xf>
    <xf numFmtId="0" fontId="1" fillId="23" borderId="0" xfId="0" applyNumberFormat="1" applyFont="1" applyFill="1" applyAlignment="1">
      <alignment horizontal="center"/>
    </xf>
    <xf numFmtId="166" fontId="3" fillId="23" borderId="45" xfId="0" applyNumberFormat="1" applyFont="1" applyFill="1" applyBorder="1" applyAlignment="1">
      <alignment horizontal="center"/>
    </xf>
    <xf numFmtId="166" fontId="3" fillId="23" borderId="48" xfId="0" applyNumberFormat="1" applyFont="1" applyFill="1" applyBorder="1" applyAlignment="1">
      <alignment horizontal="center"/>
    </xf>
    <xf numFmtId="166" fontId="3" fillId="23" borderId="46" xfId="0" applyNumberFormat="1" applyFont="1" applyFill="1" applyBorder="1" applyAlignment="1">
      <alignment horizontal="center"/>
    </xf>
    <xf numFmtId="0" fontId="3" fillId="23" borderId="0" xfId="0" applyNumberFormat="1" applyFont="1" applyFill="1" applyAlignment="1">
      <alignment horizontal="center"/>
    </xf>
    <xf numFmtId="0" fontId="3" fillId="23" borderId="0" xfId="0" applyFont="1" applyFill="1" applyAlignment="1">
      <alignment wrapText="1"/>
    </xf>
    <xf numFmtId="0" fontId="4" fillId="25" borderId="0" xfId="0" applyNumberFormat="1" applyFont="1" applyFill="1"/>
    <xf numFmtId="0" fontId="1" fillId="0" borderId="0" xfId="0" applyFont="1" applyFill="1" applyAlignment="1">
      <alignment horizontal="center"/>
    </xf>
    <xf numFmtId="3" fontId="0" fillId="23" borderId="0" xfId="0" applyNumberFormat="1" applyFill="1" applyAlignment="1">
      <alignment horizontal="center"/>
    </xf>
    <xf numFmtId="3" fontId="3" fillId="23" borderId="0" xfId="0" applyNumberFormat="1" applyFont="1" applyFill="1" applyAlignment="1">
      <alignment horizontal="center"/>
    </xf>
    <xf numFmtId="3" fontId="4" fillId="23" borderId="0" xfId="0" applyNumberFormat="1" applyFont="1" applyFill="1"/>
    <xf numFmtId="0" fontId="4" fillId="23" borderId="0" xfId="0" applyNumberFormat="1" applyFont="1" applyFill="1"/>
    <xf numFmtId="0" fontId="3" fillId="10" borderId="0" xfId="0" applyFont="1" applyFill="1" applyBorder="1" applyAlignment="1" applyProtection="1">
      <alignment horizontal="center"/>
      <protection locked="0"/>
    </xf>
    <xf numFmtId="0" fontId="0" fillId="0" borderId="0" xfId="0" applyAlignment="1">
      <alignment horizontal="center"/>
    </xf>
    <xf numFmtId="166" fontId="0" fillId="0" borderId="0" xfId="0" applyNumberFormat="1" applyFill="1" applyAlignment="1">
      <alignment horizontal="center"/>
    </xf>
    <xf numFmtId="166" fontId="1" fillId="0" borderId="0" xfId="0" applyNumberFormat="1" applyFont="1" applyAlignment="1">
      <alignment horizontal="center" wrapText="1"/>
    </xf>
    <xf numFmtId="0" fontId="1" fillId="0" borderId="10" xfId="0" applyFont="1" applyBorder="1"/>
    <xf numFmtId="166" fontId="12" fillId="23" borderId="46" xfId="0" applyNumberFormat="1" applyFont="1" applyFill="1" applyBorder="1" applyAlignment="1">
      <alignment horizontal="center"/>
    </xf>
    <xf numFmtId="0" fontId="12" fillId="0" borderId="28" xfId="0" applyFont="1" applyBorder="1" applyAlignment="1">
      <alignment horizontal="center"/>
    </xf>
    <xf numFmtId="0" fontId="12" fillId="0" borderId="85" xfId="0" applyFont="1" applyBorder="1" applyAlignment="1">
      <alignment horizontal="center"/>
    </xf>
    <xf numFmtId="0" fontId="12" fillId="29" borderId="8" xfId="0" applyFont="1" applyFill="1" applyBorder="1" applyAlignment="1">
      <alignment horizontal="center"/>
    </xf>
    <xf numFmtId="0" fontId="12" fillId="29" borderId="0" xfId="0" applyFont="1" applyFill="1" applyBorder="1" applyAlignment="1">
      <alignment horizontal="center"/>
    </xf>
    <xf numFmtId="0" fontId="12" fillId="29" borderId="9" xfId="0" applyFont="1" applyFill="1" applyBorder="1" applyAlignment="1">
      <alignment horizontal="center"/>
    </xf>
    <xf numFmtId="0" fontId="41" fillId="0" borderId="28" xfId="0" applyFont="1" applyBorder="1" applyAlignment="1">
      <alignment horizontal="center" wrapText="1"/>
    </xf>
    <xf numFmtId="0" fontId="41" fillId="0" borderId="85" xfId="0" applyFont="1" applyBorder="1" applyAlignment="1">
      <alignment horizontal="center" wrapText="1"/>
    </xf>
    <xf numFmtId="0" fontId="0" fillId="0" borderId="4"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1" fillId="0" borderId="4" xfId="15" applyBorder="1" applyAlignment="1">
      <alignment horizontal="center"/>
    </xf>
    <xf numFmtId="0" fontId="1" fillId="0" borderId="1" xfId="15" applyBorder="1" applyAlignment="1">
      <alignment horizontal="center"/>
    </xf>
    <xf numFmtId="0" fontId="1" fillId="0" borderId="3" xfId="15" applyBorder="1" applyAlignment="1">
      <alignment horizontal="center"/>
    </xf>
    <xf numFmtId="0" fontId="1" fillId="0" borderId="0" xfId="15" applyAlignment="1">
      <alignment horizontal="center"/>
    </xf>
    <xf numFmtId="0" fontId="3" fillId="0" borderId="26" xfId="0" applyFont="1" applyBorder="1" applyAlignment="1">
      <alignment horizontal="left" vertical="center" wrapText="1"/>
    </xf>
    <xf numFmtId="0" fontId="3" fillId="0" borderId="80" xfId="0" applyFont="1" applyBorder="1" applyAlignment="1">
      <alignment horizontal="left" vertical="center" wrapText="1"/>
    </xf>
    <xf numFmtId="167" fontId="3" fillId="28" borderId="19" xfId="0" applyNumberFormat="1" applyFont="1" applyFill="1" applyBorder="1" applyAlignment="1">
      <alignment horizontal="center"/>
    </xf>
    <xf numFmtId="0" fontId="3" fillId="0" borderId="26" xfId="0" applyFont="1" applyFill="1" applyBorder="1" applyAlignment="1">
      <alignment horizontal="left" vertical="center"/>
    </xf>
    <xf numFmtId="0" fontId="3" fillId="0" borderId="44" xfId="0" applyFont="1" applyFill="1" applyBorder="1" applyAlignment="1">
      <alignment horizontal="left" vertical="center"/>
    </xf>
    <xf numFmtId="0" fontId="12" fillId="29" borderId="10" xfId="0" applyFont="1" applyFill="1" applyBorder="1" applyAlignment="1">
      <alignment horizontal="center"/>
    </xf>
    <xf numFmtId="0" fontId="0" fillId="26" borderId="0" xfId="0" applyFill="1" applyBorder="1" applyAlignment="1">
      <alignment horizontal="center"/>
    </xf>
    <xf numFmtId="0" fontId="0" fillId="26" borderId="9" xfId="0" applyFill="1" applyBorder="1" applyAlignment="1">
      <alignment horizontal="center"/>
    </xf>
    <xf numFmtId="0" fontId="3" fillId="0" borderId="26"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10" borderId="0" xfId="0" applyFont="1" applyFill="1" applyBorder="1" applyAlignment="1" applyProtection="1">
      <alignment horizontal="center"/>
      <protection locked="0"/>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12" fillId="24" borderId="45" xfId="0" applyFont="1" applyFill="1" applyBorder="1" applyAlignment="1">
      <alignment horizontal="center" wrapText="1"/>
    </xf>
    <xf numFmtId="0" fontId="12" fillId="24" borderId="48" xfId="0" applyFont="1" applyFill="1" applyBorder="1" applyAlignment="1">
      <alignment horizontal="center" wrapText="1"/>
    </xf>
    <xf numFmtId="0" fontId="12" fillId="24" borderId="46" xfId="0" applyFont="1" applyFill="1" applyBorder="1" applyAlignment="1">
      <alignment horizontal="center" wrapText="1"/>
    </xf>
    <xf numFmtId="0" fontId="1" fillId="28" borderId="16" xfId="15" applyFont="1" applyFill="1" applyBorder="1" applyAlignment="1">
      <alignment horizontal="center" wrapText="1"/>
    </xf>
    <xf numFmtId="0" fontId="1" fillId="28" borderId="10" xfId="15" applyFont="1" applyFill="1" applyBorder="1" applyAlignment="1">
      <alignment horizontal="center" wrapText="1"/>
    </xf>
    <xf numFmtId="0" fontId="1" fillId="28" borderId="11" xfId="15" applyFont="1" applyFill="1" applyBorder="1" applyAlignment="1">
      <alignment horizontal="center" wrapText="1"/>
    </xf>
    <xf numFmtId="0" fontId="1" fillId="28" borderId="12" xfId="15" applyFont="1" applyFill="1" applyBorder="1" applyAlignment="1">
      <alignment horizontal="center" wrapText="1"/>
    </xf>
    <xf numFmtId="0" fontId="1" fillId="28" borderId="13" xfId="15" applyFont="1" applyFill="1" applyBorder="1" applyAlignment="1">
      <alignment horizontal="center" wrapText="1"/>
    </xf>
    <xf numFmtId="0" fontId="1" fillId="28" borderId="14" xfId="15" applyFont="1" applyFill="1" applyBorder="1" applyAlignment="1">
      <alignment horizontal="center" wrapText="1"/>
    </xf>
    <xf numFmtId="0" fontId="12" fillId="5" borderId="0" xfId="17" applyFont="1" applyFill="1" applyBorder="1" applyAlignment="1" applyProtection="1">
      <alignment horizontal="center" vertical="center"/>
      <protection locked="0"/>
    </xf>
    <xf numFmtId="0" fontId="12" fillId="5" borderId="34" xfId="17" applyFont="1" applyFill="1" applyBorder="1" applyAlignment="1" applyProtection="1">
      <alignment horizontal="center" vertical="center"/>
      <protection locked="0"/>
    </xf>
    <xf numFmtId="0" fontId="12" fillId="4" borderId="69" xfId="17" applyFont="1" applyFill="1" applyBorder="1" applyAlignment="1">
      <alignment horizontal="center" vertical="center" wrapText="1"/>
    </xf>
    <xf numFmtId="0" fontId="12" fillId="4" borderId="53" xfId="17" applyFont="1" applyFill="1" applyBorder="1" applyAlignment="1">
      <alignment horizontal="center" vertical="center" wrapText="1"/>
    </xf>
    <xf numFmtId="0" fontId="41" fillId="4" borderId="55" xfId="17" applyFont="1" applyFill="1" applyBorder="1" applyAlignment="1">
      <alignment horizontal="center" vertical="center"/>
    </xf>
    <xf numFmtId="0" fontId="41" fillId="4" borderId="59" xfId="17" applyFont="1" applyFill="1" applyBorder="1" applyAlignment="1">
      <alignment horizontal="center" vertical="center"/>
    </xf>
    <xf numFmtId="0" fontId="12" fillId="15" borderId="0" xfId="17" applyFont="1" applyFill="1" applyBorder="1" applyAlignment="1">
      <alignment horizontal="center" vertical="center"/>
    </xf>
    <xf numFmtId="0" fontId="12" fillId="23" borderId="45" xfId="0" applyFont="1" applyFill="1" applyBorder="1" applyAlignment="1">
      <alignment horizontal="center" wrapText="1"/>
    </xf>
    <xf numFmtId="0" fontId="12" fillId="23" borderId="48" xfId="0" applyFont="1" applyFill="1" applyBorder="1" applyAlignment="1">
      <alignment horizontal="center" wrapText="1"/>
    </xf>
    <xf numFmtId="0" fontId="12" fillId="23" borderId="46" xfId="0" applyFont="1" applyFill="1" applyBorder="1" applyAlignment="1">
      <alignment horizontal="center" wrapText="1"/>
    </xf>
    <xf numFmtId="0" fontId="3" fillId="0" borderId="16"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10" fillId="0" borderId="45" xfId="9" applyFont="1" applyBorder="1" applyAlignment="1">
      <alignment horizontal="center"/>
    </xf>
    <xf numFmtId="0" fontId="10" fillId="0" borderId="48" xfId="9" applyFont="1" applyBorder="1" applyAlignment="1">
      <alignment horizontal="center"/>
    </xf>
    <xf numFmtId="0" fontId="10" fillId="0" borderId="46" xfId="9" applyFont="1" applyBorder="1" applyAlignment="1">
      <alignment horizontal="center"/>
    </xf>
    <xf numFmtId="0" fontId="3" fillId="4" borderId="16" xfId="11" applyFont="1" applyFill="1" applyBorder="1" applyAlignment="1">
      <alignment horizontal="center"/>
    </xf>
    <xf numFmtId="0" fontId="3" fillId="4" borderId="10" xfId="11" applyFont="1" applyFill="1" applyBorder="1" applyAlignment="1">
      <alignment horizontal="center"/>
    </xf>
    <xf numFmtId="0" fontId="3" fillId="4" borderId="11" xfId="11" applyFont="1" applyFill="1" applyBorder="1" applyAlignment="1">
      <alignment horizontal="center"/>
    </xf>
    <xf numFmtId="0" fontId="4" fillId="0" borderId="0" xfId="11" applyFill="1" applyBorder="1" applyAlignment="1">
      <alignment horizontal="left" wrapText="1"/>
    </xf>
    <xf numFmtId="0" fontId="3" fillId="4" borderId="0" xfId="11" applyFont="1" applyFill="1" applyBorder="1" applyAlignment="1">
      <alignment horizontal="left" wrapText="1"/>
    </xf>
    <xf numFmtId="0" fontId="3" fillId="4" borderId="9" xfId="11" applyFont="1" applyFill="1" applyBorder="1" applyAlignment="1">
      <alignment horizontal="left" wrapText="1"/>
    </xf>
    <xf numFmtId="0" fontId="3" fillId="4" borderId="13" xfId="11" applyFont="1" applyFill="1" applyBorder="1" applyAlignment="1">
      <alignment horizontal="left" wrapText="1"/>
    </xf>
    <xf numFmtId="0" fontId="3" fillId="4" borderId="14" xfId="11" applyFont="1" applyFill="1" applyBorder="1" applyAlignment="1">
      <alignment horizontal="left" wrapText="1"/>
    </xf>
  </cellXfs>
  <cellStyles count="37">
    <cellStyle name="%" xfId="1"/>
    <cellStyle name="]_x000d__x000a_Zoomed=1_x000d__x000a_Row=0_x000d__x000a_Column=0_x000d__x000a_Height=0_x000d__x000a_Width=0_x000d__x000a_FontName=FoxFont_x000d__x000a_FontStyle=0_x000d__x000a_FontSize=9_x000d__x000a_PrtFontName=FoxPrin" xfId="2"/>
    <cellStyle name="Comma" xfId="3" builtinId="3"/>
    <cellStyle name="Comma 2" xfId="21"/>
    <cellStyle name="Comma 3" xfId="22"/>
    <cellStyle name="Currency 2" xfId="36"/>
    <cellStyle name="Estimated" xfId="24"/>
    <cellStyle name="external input" xfId="25"/>
    <cellStyle name="Header" xfId="4"/>
    <cellStyle name="HeaderGrant" xfId="5"/>
    <cellStyle name="HeaderLEA" xfId="6"/>
    <cellStyle name="Imported" xfId="26"/>
    <cellStyle name="LEAName" xfId="7"/>
    <cellStyle name="LEANumber" xfId="8"/>
    <cellStyle name="log projection" xfId="27"/>
    <cellStyle name="Normal" xfId="0" builtinId="0"/>
    <cellStyle name="Normal 2" xfId="15"/>
    <cellStyle name="Normal 3" xfId="17"/>
    <cellStyle name="Normal 4" xfId="19"/>
    <cellStyle name="Normal_Book3" xfId="9"/>
    <cellStyle name="Normal_Boulton EY" xfId="16"/>
    <cellStyle name="Normal_DFESXXX_831LLLL_S251B1213(1) VALUES ONLY FOR SUBMISSION 29.3.12" xfId="10"/>
    <cellStyle name="Normal_Finbud 12-13 Actual with YPLA allocations" xfId="11"/>
    <cellStyle name="Normal_PVI Hours 2010-11" xfId="18"/>
    <cellStyle name="Normal_Sheet1" xfId="12"/>
    <cellStyle name="Normal_Sheet1_Early Years Formula Actual 2012-13" xfId="23"/>
    <cellStyle name="Normal_Table1 2008-09 apportionment" xfId="13"/>
    <cellStyle name="Number" xfId="14"/>
    <cellStyle name="Percent 2" xfId="20"/>
    <cellStyle name="provisional PN158/97" xfId="28"/>
    <cellStyle name="Style 1" xfId="29"/>
    <cellStyle name="sub" xfId="30"/>
    <cellStyle name="table imported" xfId="31"/>
    <cellStyle name="table sum" xfId="32"/>
    <cellStyle name="table values" xfId="33"/>
    <cellStyle name="u5shares" xfId="34"/>
    <cellStyle name="Variable assumptions"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lms%20formula%20&amp;%20S52/2013-2014/Formula%20Funding%20Consultation/DFESXXX_831LLLL_S251B1213(1)%20VALUES%20ONLY%20FOR%20SUBMISSION%2029.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E\CENTRAL1\School%20Imp%20&amp;%20Inclusion\SENSS%20EDB\2003-04\Finance%20Planner%20-%20SENSS%202003-04%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c-fs03\educsdata\Budget%20Monitoring\STF\STF%202010-11\SSG%202008-11%20-%20SSG%20LA%20calculat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lines"/>
      <sheetName val="Budgets to delegate"/>
      <sheetName val="lines to delegate"/>
      <sheetName val="CoverSheet"/>
      <sheetName val="LATable"/>
      <sheetName val="SchoolTable"/>
    </sheetNames>
    <sheetDataSet>
      <sheetData sheetId="0"/>
      <sheetData sheetId="1">
        <row r="10">
          <cell r="Q10">
            <v>158406</v>
          </cell>
        </row>
      </sheetData>
      <sheetData sheetId="2"/>
      <sheetData sheetId="3"/>
      <sheetData sheetId="4"/>
      <sheetData sheetId="5">
        <row r="5">
          <cell r="L5" t="str">
            <v>Unit Value Block</v>
          </cell>
          <cell r="CM5" t="str">
            <v xml:space="preserve">Additional Spend Block </v>
          </cell>
          <cell r="ER5" t="str">
            <v>Total Spend Block</v>
          </cell>
        </row>
        <row r="6">
          <cell r="G6" t="str">
            <v xml:space="preserve"> Early Years Pupils funded by the Early Years Single Funding Formula - base rates</v>
          </cell>
          <cell r="O6" t="str">
            <v>Funding Provided above the F E in Maintained Providers</v>
          </cell>
          <cell r="U6" t="str">
            <v xml:space="preserve"> Primary : Funding for children admitted to school and in reception classes: pupils funded by year/age groups  -  age-weighted funding primary schools</v>
          </cell>
          <cell r="AM6" t="str">
            <v>SECONDARY:Funding for children admitted to school and in reception classes:  Pupils funded by year/age groups  -  age-weighted funding Secondary schools</v>
          </cell>
          <cell r="BE6" t="str">
            <v>SPECIAL: Place-led funding</v>
          </cell>
          <cell r="BS6" t="str">
            <v>Early Years Specific Factors</v>
          </cell>
          <cell r="CF6" t="str">
            <v>Additional Pupil Led Funding</v>
          </cell>
          <cell r="CN6" t="str">
            <v xml:space="preserve">EFA funding </v>
          </cell>
          <cell r="CQ6" t="str">
            <v>AEN-Learning needs associated with EAL</v>
          </cell>
          <cell r="CU6" t="str">
            <v>Individually assigned resources</v>
          </cell>
          <cell r="CX6" t="str">
            <v>Funding for designated special classes and units</v>
          </cell>
          <cell r="DA6" t="str">
            <v>All other SEN funding</v>
          </cell>
          <cell r="DD6" t="str">
            <v xml:space="preserve">AEN - Including other learning and social needs </v>
          </cell>
          <cell r="DJ6" t="str">
            <v>Premises factors - general</v>
          </cell>
          <cell r="DR6" t="str">
            <v>Premises factors - exceptional circumstances</v>
          </cell>
          <cell r="DY6" t="str">
            <v>School-specific factors - general</v>
          </cell>
          <cell r="EC6" t="str">
            <v>School-specific factors - exceptional circumstances</v>
          </cell>
          <cell r="EF6" t="str">
            <v>Historical grants factors</v>
          </cell>
          <cell r="EI6" t="str">
            <v>Budget adjustments</v>
          </cell>
          <cell r="EV6" t="str">
            <v>MFG Variation Applied</v>
          </cell>
          <cell r="EY6" t="str">
            <v>Other</v>
          </cell>
        </row>
        <row r="7">
          <cell r="G7" t="str">
            <v>Maintained Nursery</v>
          </cell>
          <cell r="H7" t="str">
            <v>School Based Nursery</v>
          </cell>
          <cell r="I7" t="str">
            <v>PVI Pre School Nursery</v>
          </cell>
          <cell r="J7" t="str">
            <v>PVI Day Nursery</v>
          </cell>
          <cell r="L7" t="str">
            <v>Total Early Years
 age-weighted funding</v>
          </cell>
          <cell r="M7" t="str">
            <v>Total estimated hours used in budgets</v>
          </cell>
          <cell r="N7" t="str">
            <v>Total Early Years FTE</v>
          </cell>
          <cell r="S7" t="str">
            <v>Total Additional Funding Provided above the FE in maintained providers</v>
          </cell>
          <cell r="T7" t="str">
            <v>Total estimated additional hours used in budgets</v>
          </cell>
          <cell r="U7" t="str">
            <v>Reception</v>
          </cell>
          <cell r="Y7" t="str">
            <v>Key Stage 1 -Year 1</v>
          </cell>
          <cell r="Z7" t="str">
            <v>Key Stage 1 -Year 2</v>
          </cell>
          <cell r="AA7" t="str">
            <v>Key Stage 2 -Year 3</v>
          </cell>
          <cell r="AB7" t="str">
            <v>Key Stage 2 -Year 4</v>
          </cell>
          <cell r="AC7" t="str">
            <v>Key Stage 2 -Year 5</v>
          </cell>
          <cell r="AD7" t="str">
            <v>Key Stage 2 -Year 6</v>
          </cell>
          <cell r="AK7" t="str">
            <v>Total Primary
age-weighted funding</v>
          </cell>
          <cell r="AL7" t="str">
            <v>Total Primary FTE</v>
          </cell>
          <cell r="AW7" t="str">
            <v>Key Stage 3 -Year 7</v>
          </cell>
          <cell r="AX7" t="str">
            <v>Key Stage 3 -Year 8</v>
          </cell>
          <cell r="AY7" t="str">
            <v>Key Stage 3 -Year 9</v>
          </cell>
          <cell r="AZ7" t="str">
            <v>Key Stage 4 -Year 10</v>
          </cell>
          <cell r="BA7" t="str">
            <v>Key Stage 4 -Year 11</v>
          </cell>
          <cell r="BB7" t="str">
            <v>Retakes (Year 12+)</v>
          </cell>
          <cell r="BC7" t="str">
            <v>Total Secondary
age-weighted funding</v>
          </cell>
          <cell r="BD7" t="str">
            <v>Total Secondary FTE</v>
          </cell>
          <cell r="BE7" t="str">
            <v>Band 2 Y7+</v>
          </cell>
          <cell r="BF7" t="str">
            <v>Band 3 Y3-6</v>
          </cell>
          <cell r="BG7" t="str">
            <v>Band 3 Y7+</v>
          </cell>
          <cell r="BH7" t="str">
            <v>Band 4 Y1-2</v>
          </cell>
          <cell r="BI7" t="str">
            <v>Band 4 Y3-6</v>
          </cell>
          <cell r="BJ7" t="str">
            <v>Band 4 Y7+</v>
          </cell>
          <cell r="BK7" t="str">
            <v>Band 5 Y1-2</v>
          </cell>
          <cell r="BL7" t="str">
            <v>Band 5 Y3-6</v>
          </cell>
          <cell r="BM7" t="str">
            <v>Band 5 Y7+</v>
          </cell>
          <cell r="BN7" t="str">
            <v>Residential Band 4 7+</v>
          </cell>
          <cell r="BO7" t="str">
            <v>Residential Band 5 7+</v>
          </cell>
          <cell r="BP7" t="str">
            <v>Total Special Place-led funding</v>
          </cell>
          <cell r="BQ7" t="str">
            <v>Total Special FTE</v>
          </cell>
          <cell r="BS7" t="str">
            <v>Deprivation</v>
          </cell>
          <cell r="BT7" t="str">
            <v>Maintained Nursery Base</v>
          </cell>
          <cell r="BU7" t="str">
            <v>EAL</v>
          </cell>
          <cell r="BV7" t="str">
            <v>Retrospective Adjustment - TA Hours</v>
          </cell>
          <cell r="BW7" t="str">
            <v>Rates</v>
          </cell>
          <cell r="BX7" t="str">
            <v>Retrospective Adjustment - EYSFF</v>
          </cell>
          <cell r="BY7" t="str">
            <v>Individually Assigned Resources</v>
          </cell>
          <cell r="BZ7" t="str">
            <v>Vulnerable Children</v>
          </cell>
          <cell r="CA7" t="str">
            <v>PVI Funding Cap</v>
          </cell>
          <cell r="CB7" t="str">
            <v>Enhanced Resource School Funding</v>
          </cell>
          <cell r="CC7" t="str">
            <v>Minimum Funding Guarantee</v>
          </cell>
          <cell r="CD7" t="str">
            <v>Transitional Provision</v>
          </cell>
          <cell r="CE7" t="str">
            <v xml:space="preserve">Total Early Years Specific Factors </v>
          </cell>
          <cell r="CF7" t="str">
            <v>KS1 Alternative Funding Routes Class Based</v>
          </cell>
          <cell r="CI7" t="str">
            <v>Catering Free School Meals - Special Schools</v>
          </cell>
          <cell r="CJ7" t="str">
            <v>Insurance Pupil Numbers</v>
          </cell>
          <cell r="CK7" t="str">
            <v>Pupil Number Allocation</v>
          </cell>
          <cell r="CL7" t="str">
            <v>Catering Paid Meals</v>
          </cell>
          <cell r="CM7" t="str">
            <v>Total Additional Funding</v>
          </cell>
          <cell r="CN7" t="str">
            <v>EFA Grant Allocation Funding Sixth Form Pupils</v>
          </cell>
          <cell r="CO7" t="str">
            <v>EFA Teachers Pay Grant</v>
          </cell>
          <cell r="CP7" t="str">
            <v xml:space="preserve">Total EFA funding   </v>
          </cell>
          <cell r="CQ7" t="str">
            <v>Mobility SEN/EAL Factor</v>
          </cell>
          <cell r="CR7" t="str">
            <v>Access EAL</v>
          </cell>
          <cell r="CS7" t="str">
            <v>EAL Underachieving</v>
          </cell>
          <cell r="CT7" t="str">
            <v>Total AEN Learning needs associated with EAL</v>
          </cell>
          <cell r="CU7" t="str">
            <v>Named Pupil - Teaching Assistant Hours</v>
          </cell>
          <cell r="CV7" t="str">
            <v>Named Pupil - Children Out of Catchment Area Teaching Assistant Hours</v>
          </cell>
          <cell r="CW7" t="str">
            <v>Total Individually assigned resources</v>
          </cell>
          <cell r="CX7" t="str">
            <v>Enhanced Resource Schools</v>
          </cell>
          <cell r="CZ7" t="str">
            <v xml:space="preserve"> Total Funding for designated special classes and units</v>
          </cell>
          <cell r="DC7" t="str">
            <v>Total All other SEN funding</v>
          </cell>
          <cell r="DD7" t="str">
            <v>Social Deprivation</v>
          </cell>
          <cell r="DE7" t="str">
            <v>Index of Multiple Deprivation Funding</v>
          </cell>
          <cell r="DF7" t="str">
            <v>Vulnerable Children</v>
          </cell>
          <cell r="DG7" t="str">
            <v>Non-Statemented KS2 Prior Attainment</v>
          </cell>
          <cell r="DH7" t="str">
            <v>Inclusion</v>
          </cell>
          <cell r="DI7" t="str">
            <v>Total AEN - Including other learning and social needs</v>
          </cell>
          <cell r="DJ7" t="str">
            <v>Insurance</v>
          </cell>
          <cell r="DK7" t="str">
            <v>Rates</v>
          </cell>
          <cell r="DL7" t="str">
            <v>Maintenance - Assessed Need</v>
          </cell>
          <cell r="DM7" t="str">
            <v>Block Base Budget</v>
          </cell>
          <cell r="DN7" t="str">
            <v>Residential Base Budget</v>
          </cell>
          <cell r="DO7" t="str">
            <v>Floor Area - Special Schools</v>
          </cell>
          <cell r="DP7" t="str">
            <v>Pupil Density - Special Schools</v>
          </cell>
          <cell r="DQ7" t="str">
            <v>Total Premises factors - general</v>
          </cell>
          <cell r="DR7" t="str">
            <v>PFI Factor</v>
          </cell>
          <cell r="DS7" t="str">
            <v>PFI BSF Factor</v>
          </cell>
          <cell r="DT7" t="str">
            <v>PFI Utility Factor</v>
          </cell>
          <cell r="DU7" t="str">
            <v>Split Site Budget</v>
          </cell>
          <cell r="DV7" t="str">
            <v>Hydrotherapy Pool</v>
          </cell>
          <cell r="DW7" t="str">
            <v>Nursing - Special Schools</v>
          </cell>
          <cell r="DX7" t="str">
            <v>Total Premises factors - exceptional circumstances</v>
          </cell>
          <cell r="DY7" t="str">
            <v>Mobility - Pupil Turnover</v>
          </cell>
          <cell r="DZ7" t="str">
            <v>Admissions</v>
          </cell>
          <cell r="EA7" t="str">
            <v>Small School Protection</v>
          </cell>
          <cell r="EB7" t="str">
            <v>Total School-specific factors - general</v>
          </cell>
          <cell r="EE7" t="str">
            <v>Total School-specific factors - exceptional circumstances</v>
          </cell>
          <cell r="EH7" t="str">
            <v>Total Historical grants factors</v>
          </cell>
          <cell r="EI7" t="str">
            <v>Transitional provision</v>
          </cell>
          <cell r="EK7" t="str">
            <v>Abatement of Secondary Funding</v>
          </cell>
          <cell r="EL7" t="str">
            <v>Retrospective Adjustments - TA Hours</v>
          </cell>
          <cell r="EM7" t="str">
            <v>Retrospective Adjustments - ERS Places</v>
          </cell>
          <cell r="EO7" t="str">
            <v>Total budget adjustments</v>
          </cell>
          <cell r="EP7" t="str">
            <v xml:space="preserve">
Minimum Funding Guarantee</v>
          </cell>
          <cell r="EQ7" t="str">
            <v>Total Early Years funding</v>
          </cell>
          <cell r="ER7" t="str">
            <v xml:space="preserve">
Total Budget Share</v>
          </cell>
          <cell r="ES7" t="str">
            <v xml:space="preserve">  EFA numbers (Jan 2012)</v>
          </cell>
          <cell r="ET7" t="str">
            <v xml:space="preserve">
Total January 2012 Pupil Count (FTE registered pupils)</v>
          </cell>
          <cell r="EU7" t="str">
            <v xml:space="preserve"> £ per pupil</v>
          </cell>
          <cell r="EV7" t="str">
            <v>If a variation has been applied for any of your schools can you please provide more information in the description cell provided below</v>
          </cell>
          <cell r="EW7" t="str">
            <v>Pupil Premium Allocated to Schools</v>
          </cell>
          <cell r="EX7" t="str">
            <v xml:space="preserve">
Threshold and Performance Pay</v>
          </cell>
          <cell r="EY7" t="str">
            <v xml:space="preserve">
Support for Schools in Financial Difficulty</v>
          </cell>
          <cell r="EZ7" t="str">
            <v xml:space="preserve">
Notional SEN Budget</v>
          </cell>
        </row>
        <row r="8">
          <cell r="B8" t="str">
            <v>All Through Schools and Federated Indicator</v>
          </cell>
          <cell r="C8" t="str">
            <v>School name</v>
          </cell>
          <cell r="D8" t="str">
            <v xml:space="preserve"> DfE number</v>
          </cell>
          <cell r="E8" t="str">
            <v xml:space="preserve">
School Opening / Closing/ Converting</v>
          </cell>
          <cell r="F8" t="str">
            <v xml:space="preserve"> 
Date Opening / Closing</v>
          </cell>
          <cell r="BR8" t="str">
            <v xml:space="preserve">Additional Spend Block </v>
          </cell>
        </row>
        <row r="9">
          <cell r="G9" t="str">
            <v>HOURS</v>
          </cell>
          <cell r="H9" t="str">
            <v>HOURS</v>
          </cell>
          <cell r="I9" t="str">
            <v>HOURS</v>
          </cell>
          <cell r="J9" t="str">
            <v>HOURS</v>
          </cell>
          <cell r="K9" t="str">
            <v>HOURS</v>
          </cell>
          <cell r="L9" t="str">
            <v>£</v>
          </cell>
          <cell r="M9" t="str">
            <v>HOURS</v>
          </cell>
          <cell r="N9" t="str">
            <v>FTE</v>
          </cell>
          <cell r="O9" t="str">
            <v>HOURS</v>
          </cell>
          <cell r="P9" t="str">
            <v>HOURS</v>
          </cell>
          <cell r="Q9" t="str">
            <v>HOURS</v>
          </cell>
          <cell r="R9" t="str">
            <v>HOURS</v>
          </cell>
          <cell r="S9" t="str">
            <v>£</v>
          </cell>
          <cell r="T9" t="str">
            <v>HOURS</v>
          </cell>
          <cell r="U9" t="str">
            <v>PUPILS</v>
          </cell>
          <cell r="V9" t="str">
            <v>PUPILS</v>
          </cell>
          <cell r="W9" t="str">
            <v>PUPILS</v>
          </cell>
          <cell r="X9" t="str">
            <v>PUPILS</v>
          </cell>
          <cell r="Y9" t="str">
            <v>PUPILS</v>
          </cell>
          <cell r="Z9" t="str">
            <v>PUPILS</v>
          </cell>
          <cell r="AA9" t="str">
            <v>PUPILS</v>
          </cell>
          <cell r="AB9" t="str">
            <v>PUPILS</v>
          </cell>
          <cell r="AC9" t="str">
            <v>PUPILS</v>
          </cell>
          <cell r="AD9" t="str">
            <v>PUPILS</v>
          </cell>
          <cell r="AE9" t="str">
            <v>PUPILS</v>
          </cell>
          <cell r="AF9" t="str">
            <v>PUPILS</v>
          </cell>
          <cell r="AG9" t="str">
            <v>PUPILS</v>
          </cell>
          <cell r="AH9" t="str">
            <v>PUPILS</v>
          </cell>
          <cell r="AI9" t="str">
            <v>PUPILS</v>
          </cell>
          <cell r="AJ9" t="str">
            <v>PUPILS</v>
          </cell>
          <cell r="AL9" t="str">
            <v>FTE</v>
          </cell>
          <cell r="AM9" t="str">
            <v>PUPILS</v>
          </cell>
          <cell r="AN9" t="str">
            <v>PUPILS</v>
          </cell>
          <cell r="AO9" t="str">
            <v>PUPILS</v>
          </cell>
          <cell r="AP9" t="str">
            <v>PUPILS</v>
          </cell>
          <cell r="AQ9" t="str">
            <v>PUPILS</v>
          </cell>
          <cell r="AR9" t="str">
            <v>PUPILS</v>
          </cell>
          <cell r="AS9" t="str">
            <v>PUPILS</v>
          </cell>
          <cell r="AT9" t="str">
            <v>PUPILS</v>
          </cell>
          <cell r="AU9" t="str">
            <v>PUPILS</v>
          </cell>
          <cell r="AV9" t="str">
            <v>PUPILS</v>
          </cell>
          <cell r="AW9" t="str">
            <v>PUPILS</v>
          </cell>
          <cell r="AX9" t="str">
            <v>PUPILS</v>
          </cell>
          <cell r="AY9" t="str">
            <v>PUPILS</v>
          </cell>
          <cell r="AZ9" t="str">
            <v>PUPILS</v>
          </cell>
          <cell r="BA9" t="str">
            <v>PUPILS</v>
          </cell>
          <cell r="BB9" t="str">
            <v>PUPILS</v>
          </cell>
          <cell r="BD9" t="str">
            <v>FTE</v>
          </cell>
          <cell r="BE9" t="str">
            <v>PLACES</v>
          </cell>
          <cell r="BF9" t="str">
            <v>PLACES</v>
          </cell>
          <cell r="BG9" t="str">
            <v>PLACES</v>
          </cell>
          <cell r="BH9" t="str">
            <v>PLACES</v>
          </cell>
          <cell r="BI9" t="str">
            <v>PLACES</v>
          </cell>
          <cell r="BJ9" t="str">
            <v>PLACES</v>
          </cell>
          <cell r="BK9" t="str">
            <v>PLACES</v>
          </cell>
          <cell r="BL9" t="str">
            <v>PLACES</v>
          </cell>
          <cell r="BM9" t="str">
            <v>PLACES</v>
          </cell>
          <cell r="BN9" t="str">
            <v>PLACES</v>
          </cell>
          <cell r="BO9" t="str">
            <v>PLACES</v>
          </cell>
          <cell r="BQ9" t="str">
            <v>FTE</v>
          </cell>
          <cell r="BS9" t="str">
            <v>£</v>
          </cell>
          <cell r="BT9" t="str">
            <v>£</v>
          </cell>
          <cell r="BU9" t="str">
            <v>£</v>
          </cell>
          <cell r="BV9" t="str">
            <v>£</v>
          </cell>
          <cell r="BW9" t="str">
            <v>£</v>
          </cell>
          <cell r="BX9" t="str">
            <v>£</v>
          </cell>
          <cell r="BY9" t="str">
            <v>£</v>
          </cell>
          <cell r="BZ9" t="str">
            <v>£</v>
          </cell>
          <cell r="CA9" t="str">
            <v>£</v>
          </cell>
          <cell r="CB9" t="str">
            <v>£</v>
          </cell>
          <cell r="CC9" t="str">
            <v>£</v>
          </cell>
          <cell r="CD9" t="str">
            <v>£</v>
          </cell>
          <cell r="CE9" t="str">
            <v>£</v>
          </cell>
          <cell r="CF9" t="str">
            <v>£</v>
          </cell>
          <cell r="CG9" t="str">
            <v>£</v>
          </cell>
          <cell r="CH9" t="str">
            <v>£</v>
          </cell>
          <cell r="CI9" t="str">
            <v>£</v>
          </cell>
          <cell r="CJ9" t="str">
            <v>£</v>
          </cell>
          <cell r="CK9" t="str">
            <v>£</v>
          </cell>
          <cell r="CL9" t="str">
            <v>£</v>
          </cell>
          <cell r="CM9" t="str">
            <v>£</v>
          </cell>
          <cell r="CN9" t="str">
            <v>£</v>
          </cell>
          <cell r="CO9" t="str">
            <v>£</v>
          </cell>
          <cell r="CP9" t="str">
            <v>£</v>
          </cell>
          <cell r="CQ9" t="str">
            <v>£</v>
          </cell>
          <cell r="CR9" t="str">
            <v>£</v>
          </cell>
          <cell r="CS9" t="str">
            <v>£</v>
          </cell>
          <cell r="CT9" t="str">
            <v>£</v>
          </cell>
          <cell r="CU9" t="str">
            <v>£</v>
          </cell>
          <cell r="CV9" t="str">
            <v>£</v>
          </cell>
          <cell r="CW9" t="str">
            <v>£</v>
          </cell>
          <cell r="CX9" t="str">
            <v>£</v>
          </cell>
          <cell r="CY9" t="str">
            <v>£</v>
          </cell>
          <cell r="CZ9" t="str">
            <v>£</v>
          </cell>
          <cell r="DA9" t="str">
            <v>£</v>
          </cell>
          <cell r="DB9" t="str">
            <v>£</v>
          </cell>
          <cell r="DC9" t="str">
            <v>£</v>
          </cell>
          <cell r="DD9" t="str">
            <v>£</v>
          </cell>
          <cell r="DE9" t="str">
            <v>£</v>
          </cell>
          <cell r="DF9" t="str">
            <v>£</v>
          </cell>
          <cell r="DG9" t="str">
            <v>£</v>
          </cell>
          <cell r="DH9" t="str">
            <v>£</v>
          </cell>
          <cell r="DI9" t="str">
            <v>£</v>
          </cell>
          <cell r="DJ9" t="str">
            <v>£</v>
          </cell>
          <cell r="DK9" t="str">
            <v>£</v>
          </cell>
          <cell r="DL9" t="str">
            <v>£</v>
          </cell>
          <cell r="DM9" t="str">
            <v>£</v>
          </cell>
          <cell r="DN9" t="str">
            <v>£</v>
          </cell>
          <cell r="DO9" t="str">
            <v>£</v>
          </cell>
          <cell r="DP9" t="str">
            <v>£</v>
          </cell>
          <cell r="DQ9" t="str">
            <v>£</v>
          </cell>
          <cell r="DR9" t="str">
            <v>£</v>
          </cell>
          <cell r="DS9" t="str">
            <v>£</v>
          </cell>
          <cell r="DT9" t="str">
            <v>£</v>
          </cell>
          <cell r="DU9" t="str">
            <v>£</v>
          </cell>
          <cell r="DV9" t="str">
            <v>£</v>
          </cell>
          <cell r="DW9" t="str">
            <v>£</v>
          </cell>
          <cell r="DX9" t="str">
            <v>£</v>
          </cell>
          <cell r="DY9" t="str">
            <v>£</v>
          </cell>
          <cell r="DZ9" t="str">
            <v>£</v>
          </cell>
          <cell r="EA9" t="str">
            <v>£</v>
          </cell>
          <cell r="EB9" t="str">
            <v>£</v>
          </cell>
          <cell r="EC9" t="str">
            <v>£</v>
          </cell>
          <cell r="ED9" t="str">
            <v>£</v>
          </cell>
          <cell r="EE9" t="str">
            <v>£</v>
          </cell>
          <cell r="EF9" t="str">
            <v>£</v>
          </cell>
          <cell r="EG9" t="str">
            <v>£</v>
          </cell>
          <cell r="EH9" t="str">
            <v>£</v>
          </cell>
          <cell r="EI9" t="str">
            <v>£</v>
          </cell>
          <cell r="EJ9" t="str">
            <v>£</v>
          </cell>
          <cell r="EK9" t="str">
            <v>£</v>
          </cell>
          <cell r="EL9" t="str">
            <v>£</v>
          </cell>
          <cell r="EM9" t="str">
            <v>£</v>
          </cell>
          <cell r="EN9" t="str">
            <v>£</v>
          </cell>
          <cell r="EO9" t="str">
            <v>£</v>
          </cell>
        </row>
        <row r="10">
          <cell r="A10" t="str">
            <v>Column Status</v>
          </cell>
          <cell r="G10" t="str">
            <v>Include</v>
          </cell>
          <cell r="H10" t="str">
            <v>Include</v>
          </cell>
          <cell r="I10" t="str">
            <v>Include</v>
          </cell>
          <cell r="J10" t="str">
            <v>Include</v>
          </cell>
          <cell r="K10" t="str">
            <v>Exclude</v>
          </cell>
          <cell r="L10" t="str">
            <v>Group Total</v>
          </cell>
          <cell r="M10" t="str">
            <v>Group Total</v>
          </cell>
          <cell r="N10" t="str">
            <v>Group Total</v>
          </cell>
          <cell r="O10" t="str">
            <v>Exclude</v>
          </cell>
          <cell r="P10" t="str">
            <v>Exclude</v>
          </cell>
          <cell r="Q10" t="str">
            <v>Exclude</v>
          </cell>
          <cell r="R10" t="str">
            <v>Exclude</v>
          </cell>
          <cell r="S10" t="str">
            <v>Group Total</v>
          </cell>
          <cell r="T10" t="str">
            <v>Group Total</v>
          </cell>
          <cell r="U10" t="str">
            <v>Include</v>
          </cell>
          <cell r="V10" t="str">
            <v>Exclude</v>
          </cell>
          <cell r="W10" t="str">
            <v>Exclude</v>
          </cell>
          <cell r="X10" t="str">
            <v>Exclude</v>
          </cell>
          <cell r="Y10" t="str">
            <v>Include</v>
          </cell>
          <cell r="Z10" t="str">
            <v>Include</v>
          </cell>
          <cell r="AA10" t="str">
            <v>Include</v>
          </cell>
          <cell r="AB10" t="str">
            <v>Include</v>
          </cell>
          <cell r="AC10" t="str">
            <v>Include</v>
          </cell>
          <cell r="AD10" t="str">
            <v>Include</v>
          </cell>
          <cell r="AE10" t="str">
            <v>Exclude</v>
          </cell>
          <cell r="AF10" t="str">
            <v>Exclude</v>
          </cell>
          <cell r="AG10" t="str">
            <v>Exclude</v>
          </cell>
          <cell r="AH10" t="str">
            <v>Exclude</v>
          </cell>
          <cell r="AI10" t="str">
            <v>Exclude</v>
          </cell>
          <cell r="AJ10" t="str">
            <v>Exclude</v>
          </cell>
          <cell r="AK10" t="str">
            <v>Group Total</v>
          </cell>
          <cell r="AL10" t="str">
            <v>Group Total</v>
          </cell>
          <cell r="AM10" t="str">
            <v>Exclude</v>
          </cell>
          <cell r="AN10" t="str">
            <v>Exclude</v>
          </cell>
          <cell r="AO10" t="str">
            <v>Exclude</v>
          </cell>
          <cell r="AP10" t="str">
            <v>Exclude</v>
          </cell>
          <cell r="AQ10" t="str">
            <v>Exclude</v>
          </cell>
          <cell r="AR10" t="str">
            <v>Exclude</v>
          </cell>
          <cell r="AS10" t="str">
            <v>Exclude</v>
          </cell>
          <cell r="AT10" t="str">
            <v>Exclude</v>
          </cell>
          <cell r="AU10" t="str">
            <v>Exclude</v>
          </cell>
          <cell r="AV10" t="str">
            <v>Exclude</v>
          </cell>
          <cell r="AW10" t="str">
            <v>Include</v>
          </cell>
          <cell r="AX10" t="str">
            <v>Include</v>
          </cell>
          <cell r="AY10" t="str">
            <v>Include</v>
          </cell>
          <cell r="AZ10" t="str">
            <v>Include</v>
          </cell>
          <cell r="BA10" t="str">
            <v>Include</v>
          </cell>
          <cell r="BB10" t="str">
            <v>Include</v>
          </cell>
          <cell r="BC10" t="str">
            <v>Group Total</v>
          </cell>
          <cell r="BD10" t="str">
            <v>Group Total</v>
          </cell>
          <cell r="BE10" t="str">
            <v>Include</v>
          </cell>
          <cell r="BF10" t="str">
            <v>Include</v>
          </cell>
          <cell r="BG10" t="str">
            <v>Include</v>
          </cell>
          <cell r="BH10" t="str">
            <v>Include</v>
          </cell>
          <cell r="BI10" t="str">
            <v>Include</v>
          </cell>
          <cell r="BJ10" t="str">
            <v>Include</v>
          </cell>
          <cell r="BK10" t="str">
            <v>Include</v>
          </cell>
          <cell r="BL10" t="str">
            <v>Include</v>
          </cell>
          <cell r="BM10" t="str">
            <v>Include</v>
          </cell>
          <cell r="BN10" t="str">
            <v>Include</v>
          </cell>
          <cell r="BO10" t="str">
            <v>Include</v>
          </cell>
          <cell r="BP10" t="str">
            <v>Group Total</v>
          </cell>
          <cell r="BQ10" t="str">
            <v>Group Total</v>
          </cell>
          <cell r="BR10" t="str">
            <v>group total</v>
          </cell>
          <cell r="BS10" t="str">
            <v>Include</v>
          </cell>
          <cell r="BT10" t="str">
            <v>Include</v>
          </cell>
          <cell r="BU10" t="str">
            <v>Include</v>
          </cell>
          <cell r="BV10" t="str">
            <v>Include</v>
          </cell>
          <cell r="BW10" t="str">
            <v>Include</v>
          </cell>
          <cell r="BX10" t="str">
            <v>Include</v>
          </cell>
          <cell r="BY10" t="str">
            <v>Include</v>
          </cell>
          <cell r="BZ10" t="str">
            <v>Include</v>
          </cell>
          <cell r="CA10" t="str">
            <v>Include</v>
          </cell>
          <cell r="CB10" t="str">
            <v>Include</v>
          </cell>
          <cell r="CC10" t="str">
            <v>Include</v>
          </cell>
          <cell r="CD10" t="str">
            <v>Include</v>
          </cell>
          <cell r="CE10" t="str">
            <v>Group Total</v>
          </cell>
          <cell r="CF10" t="str">
            <v>Include</v>
          </cell>
          <cell r="CG10" t="str">
            <v>Exclude</v>
          </cell>
          <cell r="CH10" t="str">
            <v>Exclude</v>
          </cell>
          <cell r="CI10" t="str">
            <v>Include</v>
          </cell>
          <cell r="CJ10" t="str">
            <v>Include</v>
          </cell>
          <cell r="CK10" t="str">
            <v>Include</v>
          </cell>
          <cell r="CL10" t="str">
            <v>Include</v>
          </cell>
          <cell r="CM10" t="str">
            <v>Group Total</v>
          </cell>
          <cell r="CN10" t="str">
            <v>Include</v>
          </cell>
          <cell r="CO10" t="str">
            <v>Include</v>
          </cell>
          <cell r="CP10" t="str">
            <v>Group Total</v>
          </cell>
          <cell r="CQ10" t="str">
            <v>Include</v>
          </cell>
          <cell r="CR10" t="str">
            <v>Include</v>
          </cell>
          <cell r="CS10" t="str">
            <v>Include</v>
          </cell>
          <cell r="CT10" t="str">
            <v>Group Total</v>
          </cell>
          <cell r="CU10" t="str">
            <v>Include</v>
          </cell>
          <cell r="CV10" t="str">
            <v>Include</v>
          </cell>
          <cell r="CW10" t="str">
            <v>Group Total</v>
          </cell>
          <cell r="CX10" t="str">
            <v>Include</v>
          </cell>
          <cell r="CY10" t="str">
            <v>Exclude</v>
          </cell>
          <cell r="CZ10" t="str">
            <v>Group Total</v>
          </cell>
          <cell r="DA10" t="str">
            <v>Exclude</v>
          </cell>
          <cell r="DB10" t="str">
            <v>Exclude</v>
          </cell>
          <cell r="DC10" t="str">
            <v>Group Total</v>
          </cell>
          <cell r="DD10" t="str">
            <v>Include</v>
          </cell>
          <cell r="DE10" t="str">
            <v>Include</v>
          </cell>
          <cell r="DF10" t="str">
            <v>Include</v>
          </cell>
          <cell r="DG10" t="str">
            <v>Include</v>
          </cell>
          <cell r="DH10" t="str">
            <v>Include</v>
          </cell>
          <cell r="DI10" t="str">
            <v>Group Total</v>
          </cell>
          <cell r="DJ10" t="str">
            <v>Include</v>
          </cell>
          <cell r="DK10" t="str">
            <v>Include</v>
          </cell>
          <cell r="DL10" t="str">
            <v>Include</v>
          </cell>
          <cell r="DM10" t="str">
            <v>Include</v>
          </cell>
          <cell r="DN10" t="str">
            <v>Include</v>
          </cell>
          <cell r="DO10" t="str">
            <v>Include</v>
          </cell>
          <cell r="DP10" t="str">
            <v>Include</v>
          </cell>
          <cell r="DQ10" t="str">
            <v>Group Total</v>
          </cell>
          <cell r="DR10" t="str">
            <v>Include</v>
          </cell>
          <cell r="DS10" t="str">
            <v>Include</v>
          </cell>
          <cell r="DT10" t="str">
            <v>Include</v>
          </cell>
          <cell r="DU10" t="str">
            <v>Include</v>
          </cell>
          <cell r="DV10" t="str">
            <v>Include</v>
          </cell>
          <cell r="DW10" t="str">
            <v>Include</v>
          </cell>
          <cell r="DX10" t="str">
            <v>Group Total</v>
          </cell>
          <cell r="DY10" t="str">
            <v>Include</v>
          </cell>
          <cell r="DZ10" t="str">
            <v>Include</v>
          </cell>
          <cell r="EA10" t="str">
            <v>Include</v>
          </cell>
          <cell r="EB10" t="str">
            <v>Group Total</v>
          </cell>
          <cell r="EC10" t="str">
            <v>Exclude</v>
          </cell>
          <cell r="ED10" t="str">
            <v>Exclude</v>
          </cell>
          <cell r="EE10" t="str">
            <v>Group Total</v>
          </cell>
          <cell r="EF10" t="str">
            <v>Exclude</v>
          </cell>
          <cell r="EG10" t="str">
            <v>Exclude</v>
          </cell>
          <cell r="EH10" t="str">
            <v>Group Total</v>
          </cell>
          <cell r="EI10" t="str">
            <v>Include</v>
          </cell>
          <cell r="EJ10" t="str">
            <v>Exclude</v>
          </cell>
          <cell r="EK10" t="str">
            <v>Include</v>
          </cell>
          <cell r="EL10" t="str">
            <v>Include</v>
          </cell>
          <cell r="EM10" t="str">
            <v>Include</v>
          </cell>
          <cell r="EN10" t="str">
            <v>Exclude</v>
          </cell>
          <cell r="EO10" t="str">
            <v>Group Total</v>
          </cell>
        </row>
        <row r="11">
          <cell r="A11" t="str">
            <v>Methodology</v>
          </cell>
          <cell r="G11" t="str">
            <v>Maintained Nursery rate per hour obtained from costing exercise. Includes elements of buildings, and now elements of mainstreamed grants</v>
          </cell>
          <cell r="H11" t="str">
            <v>School based Nursery rate per hour obtained from costing exercise. Includes elements of buildings, and now elements of mainstreamed grants</v>
          </cell>
          <cell r="I11" t="str">
            <v xml:space="preserve">PVI Pre School average cost per hour from costing exercise </v>
          </cell>
          <cell r="J11" t="str">
            <v xml:space="preserve">PVI Day Nursery average cost per hour from costing exercise </v>
          </cell>
          <cell r="U11" t="str">
            <v>Pupils based on Jan 2012 Census by AWPU multiplier. This multiplier now includes an element of historical grants, as agreed after consultation with Schools Forum.</v>
          </cell>
          <cell r="Y11" t="str">
            <v>Pupils based on Jan 2012 Census by AWPU multiplier. This multiplier now includes an element of historical grants, as agreed after consultation with Schools Forum.</v>
          </cell>
          <cell r="Z11" t="str">
            <v>Pupils based on Jan 2012 Census by AWPU multiplier. This multiplier now includes an element of historical grants, as agreed after consultation with Schools Forum.</v>
          </cell>
          <cell r="AA11" t="str">
            <v>Pupils based on Jan 2012 Census by AWPU multiplier. This multiplier now includes an element of historical grants, as agreed after consultation with Schools Forum.</v>
          </cell>
          <cell r="AB11" t="str">
            <v>Pupils based on Jan 2012 Census by AWPU multiplier. This multiplier now includes an element of historical grants, as agreed after consultation with Schools Forum.</v>
          </cell>
          <cell r="AC11" t="str">
            <v>Pupils based on Jan 2012 Census by AWPU multiplier. This multiplier now includes an element of historical grants, as agreed after consultation with Schools Forum.</v>
          </cell>
          <cell r="AD11" t="str">
            <v>Pupils based on Jan 2012 Census by AWPU multiplier. This multiplier now includes an element of historical grants, as agreed after consultation with Schools Forum.</v>
          </cell>
          <cell r="AW11" t="str">
            <v>Pupils based on Jan 2012 Census by AWPU multiplier. This multiplier now includes an element of historical grants, as agreed after consultation with Schools Forum.</v>
          </cell>
          <cell r="AX11" t="str">
            <v>Pupils based on Jan 2012 Census by AWPU multiplier. This multiplier now includes an element of historical grants, as agreed after consultation with Schools Forum.</v>
          </cell>
          <cell r="AY11" t="str">
            <v>Pupils based on Jan 2012 Census by AWPU multiplier. This multiplier now includes an element of historical grants, as agreed after consultation with Schools Forum.</v>
          </cell>
          <cell r="AZ11" t="str">
            <v>Pupils based on Jan 2012 Census by AWPU multiplier. This multiplier now includes an element of historical grants, as agreed after consultation with Schools Forum.</v>
          </cell>
          <cell r="BA11" t="str">
            <v>Pupils based on Jan 2012 Census by AWPU multiplier. This multiplier now includes an element of historical grants, as agreed after consultation with Schools Forum.</v>
          </cell>
          <cell r="BB11" t="str">
            <v>Pupils based on Jan 2012 Census by AWPU multiplier. This multiplier now includes an element of historical grants, as agreed after consultation with Schools Forum.</v>
          </cell>
          <cell r="BE11" t="str">
            <v>An amount for each special needs place purchased by the LA</v>
          </cell>
          <cell r="BF11" t="str">
            <v>An amount for each special needs place purchased by the LA</v>
          </cell>
          <cell r="BG11" t="str">
            <v>An amount for each special needs place purchased by the LA</v>
          </cell>
          <cell r="BH11" t="str">
            <v>An amount for each special needs place purchased by the LA</v>
          </cell>
          <cell r="BI11" t="str">
            <v>An amount for each special needs place purchased by the LA</v>
          </cell>
          <cell r="BJ11" t="str">
            <v>An amount for each special needs place purchased by the LA</v>
          </cell>
          <cell r="BK11" t="str">
            <v>An amount for each special needs place purchased by the LA</v>
          </cell>
          <cell r="BL11" t="str">
            <v>An amount for each special needs place purchased by the LA</v>
          </cell>
          <cell r="BM11" t="str">
            <v>An amount for each special needs place purchased by the LA</v>
          </cell>
          <cell r="BN11" t="str">
            <v>An amount for each special needs place purchased by the LA</v>
          </cell>
          <cell r="BO11" t="str">
            <v>An amount for each special needs place purchased by the LA</v>
          </cell>
          <cell r="BR11" t="str">
            <v>Methodology</v>
          </cell>
          <cell r="BS11" t="str">
            <v xml:space="preserve">Hours of children in the IMD 40% most deprived areas, with a triple weighting for those in the top 20% deprived areas. </v>
          </cell>
          <cell r="BT11" t="str">
            <v>Base allocation for maintained Nursery Schools. This was calculated to allocate some of the historical grants to Nurseries following a consultation process and School Forum approval.</v>
          </cell>
          <cell r="BU11" t="str">
            <v>The number of underachieving pupils at January 2012 Census with English as an additional language by an hourly multiplier from EYSFF costing exercise.</v>
          </cell>
          <cell r="BV11" t="str">
            <v xml:space="preserve">Special needs TAs - actual hours allocated in January 2012 are compared with the estimate used in the 2011-12 budget and an adjustment is applied equal to 7/12 of the difference. Pupils with Statements - actual numbers of pupils in January 2012 are compared to the estimate used in the 2011-12 budget and an adjustment is applied equal to 7/12 of the difference. </v>
          </cell>
          <cell r="BW11" t="str">
            <v>Actual rates charge for 2012-13</v>
          </cell>
          <cell r="BX11" t="str">
            <v>Early Years Budget Adjustment to 2011-12 payments for Nurseries and Maintained Schools Nurseries</v>
          </cell>
          <cell r="BY11" t="str">
            <v>Teaching support - the number of pupils with statements, the  weighted average of 5/12 of the figure as at January 2012 and 7/12 of the estimate for January 2013.</v>
          </cell>
          <cell r="BZ11" t="str">
            <v>Number of children (in hours) known to Social Services by multiplier derived form EYSFF costing exercise</v>
          </cell>
          <cell r="CA11" t="str">
            <v>Ceiling of 3% Increase on prior year budget</v>
          </cell>
          <cell r="CB11" t="str">
            <v>Enhanced resource schools are funded according to the places purchased by the local authority at each school. There is a different tariff for each type of special need.</v>
          </cell>
          <cell r="CC11" t="str">
            <v>Early years Specific Minimum Funding Guarantee. To ensure that all Early Years Funding is captured in Early Years.</v>
          </cell>
          <cell r="CD11" t="str">
            <v>Provision at 50% to protect schools for deletion of AST funding as agreed with Schools Forum. This protection is for 2012-13 only.</v>
          </cell>
          <cell r="CF11" t="str">
            <v>An allocation is made to primary schools based on the school's standard number (SN). An SN up to 30 counts as one unit, 31-60 counts as 2 units, etc.</v>
          </cell>
          <cell r="CI11" t="str">
            <v>Multiplier by number of pupils per school taking free meals</v>
          </cell>
          <cell r="CJ11" t="str">
            <v>Multiplier by number of pupils for each school that has insurance function devolved</v>
          </cell>
          <cell r="CK11" t="str">
            <v>Multiplier by number of pupils in each school</v>
          </cell>
          <cell r="CL11" t="str">
            <v>Multiplier by number of pupils per school taking paid meals</v>
          </cell>
          <cell r="CN11" t="str">
            <v>Funding levels are allocated by the EFA. The allocation includes the main funding for the 2012-13 financial year.</v>
          </cell>
          <cell r="CO11" t="str">
            <v>Teachers Pay grant EFA funded - an amount per sixth form teacher entitled to performance pay</v>
          </cell>
          <cell r="CQ11" t="str">
            <v>Mobility SEN/EAL: 20% of previous years' growth is allocated though the number of pupils in the latest school census who arrived at the school in the past year and have English as an additional language or special educational needs.</v>
          </cell>
          <cell r="CR11" t="str">
            <v>The number of pupils at January 2012 Census with English as an additional language</v>
          </cell>
          <cell r="CS11" t="str">
            <v>The number of underachieving pupils at January 2012 Census with English as an additional language</v>
          </cell>
          <cell r="CU11" t="str">
            <v>Teaching support - the number of pupils with statements, the  weighted average of 5/12 of the figure as at January 2010 and 7/12 of the estimate for January 2011. The funding is only given for pupils with statements of more than 15 hours of support per week and it only funds the hours of support above the first 15 hours per pupil.</v>
          </cell>
          <cell r="CV11" t="str">
            <v>Teaching support out of the catchment area - the number of pupils with statements who live outside the school's normal catchment area.</v>
          </cell>
          <cell r="CX11" t="str">
            <v>Enhanced resource schools are funded according to the places purchased by the local authority at each school. There is a different tariff for each type of special need.</v>
          </cell>
          <cell r="DD11" t="str">
            <v>Social deprivation -calculated by taking the percentage of pupils entitled to free school meals and multiplying it by the Net Pupil Numbers</v>
          </cell>
          <cell r="DE11" t="str">
            <v>IMD: 80% of previous growth is allocated through the number of pupils in the IMD 40% most deprived areas, with a triple weighting for those in the 20% most deprived areas. This year an additional amount of funding has been allocated through this factor from the historical grants. This was calculated after consultation with Schools Forum.</v>
          </cell>
          <cell r="DF11" t="str">
            <v>Vulnerable children - numbers of children known to Social Services</v>
          </cell>
          <cell r="DG11" t="str">
            <v>KS2 prior attainment - allocations based on the number of pupils achieving below level 4 at KS2, with a double weighting for those achieving below level 3</v>
          </cell>
          <cell r="DH11" t="str">
            <v>Inclusion - funding calculated using a mixture of a base allocation for each secondary school and a weighted combination of total pupil turnover as at January Census, pupils with free meal funding and the pupil turnover numbers .</v>
          </cell>
          <cell r="DJ11" t="str">
            <v>Premises insurance - unit value multiplied by the reinstatement value of the building (expressed in £100,000s) where schools have requested delegation</v>
          </cell>
          <cell r="DK11" t="str">
            <v>Actual Charge for 2012-13</v>
          </cell>
          <cell r="DL11" t="str">
            <v>Maintenance (Assessed Need) - floor area multiplied by condition factor,  where 1 is best condition and 5 is worst</v>
          </cell>
          <cell r="DM11" t="str">
            <v>Base - Lump sum allocation. Includes premium for small schools of £4,649 for Primary Schools with less than 200 pupils. Includes elements of historical grants following consultation with Schools Forum. Bases vary slightly for Special Schools due to individual requirements.</v>
          </cell>
          <cell r="DN11" t="str">
            <v>Base - lump sum allocation for residential schools</v>
          </cell>
          <cell r="DO11" t="str">
            <v>Floor area - total area of the building in square metres. There is a weighting of 1.5 for residential special needs</v>
          </cell>
          <cell r="DP11" t="str">
            <v>Maintenance (Pupil density) - unit value multiplied by pupil numbers, divided by floor area and multiplied again by pupil numbers</v>
          </cell>
          <cell r="DR11" t="str">
            <v>PFI - actual cost of the addition to the main unitary charge</v>
          </cell>
          <cell r="DS11" t="str">
            <v>PFI - actual cost of the addition to the main unitary charge BSF related</v>
          </cell>
          <cell r="DT11" t="str">
            <v>PFI Utility Factor - compensation for increased utility bills in PFI schools</v>
          </cell>
          <cell r="DU11" t="str">
            <v>Split site - lump sum allocation for schools with buildings on more than one site. Split site index - number of year groups on the minor site multiplied by total pupil numbers. Split site base - lump sum allocation for schools with buildings on more than one site separated by a public highway and which need to maintain teaching or midday cover on more than one site. Split site other - lump sum for other schools which have a distance of at least 100m between the nearest buildings on each site, a distance of at least 250m between the principal entrance of each building by the most direct walking route and have at least 25% of the pupil population taught on the minor site</v>
          </cell>
          <cell r="DV11" t="str">
            <v>Budget for Hydrotherapy Pool at Special school</v>
          </cell>
          <cell r="DW11" t="str">
            <v>Nursing  - banded allocations, the amount for each school depends on the pupil profile in each school</v>
          </cell>
          <cell r="DY11" t="str">
            <v>Additional pupils arriving at school in addition to normal intake for school attract funding for the process.</v>
          </cell>
          <cell r="DZ11" t="str">
            <v>Admissions - total pupil numbers (aided and cheque book schools only)</v>
          </cell>
          <cell r="EA11" t="str">
            <v>Small schools curriculum - secondary funding for schools with less than 750 pupils and primaries with less than 160 pupils. The actual pupil numbers are subtracted from 750/160 and the resulting number is multiplied by the unit value.</v>
          </cell>
          <cell r="EI11" t="str">
            <v>Provision at 50% to protect schools for deletion of AST funding as agreed with Schools Forum. This protection is for 2012-13 only.</v>
          </cell>
          <cell r="EK11" t="str">
            <v xml:space="preserve">The percentage of the total number of pupils in the Sixth Form is applied to the total of all formula factors, excluding age weighted funding and LSC allocations. Where a school has an enhanced resource unit, the deduction from the funding for these places will reflect the number of pupils in that unit who are over 16, expressed as a proportion of the total number of places. </v>
          </cell>
          <cell r="EL11" t="str">
            <v xml:space="preserve">Special needs TAs - actual hours allocated in January 2012 are compared with the estimate used in the 2011-12 budget and an adjustment is applied equal to 7/12 of the difference. Pupils with Statements - actual numbers of pupils in January 2012 are compared to the estimate used in the 2011-12 budget and an adjustment is applied equal to 7/12 of the difference. </v>
          </cell>
          <cell r="EM11" t="str">
            <v>Adjustment to 2011-12 Forecast for ERS places compared to actual places.</v>
          </cell>
        </row>
        <row r="12">
          <cell r="BR12" t="str">
            <v>Deprivation</v>
          </cell>
          <cell r="BS12">
            <v>1</v>
          </cell>
          <cell r="BT12">
            <v>0</v>
          </cell>
          <cell r="BU12">
            <v>0</v>
          </cell>
          <cell r="BV12">
            <v>0</v>
          </cell>
          <cell r="BW12">
            <v>0</v>
          </cell>
          <cell r="BX12">
            <v>0</v>
          </cell>
          <cell r="BY12">
            <v>0.27</v>
          </cell>
          <cell r="BZ12">
            <v>1</v>
          </cell>
          <cell r="CA12">
            <v>0</v>
          </cell>
          <cell r="CB12">
            <v>0</v>
          </cell>
          <cell r="CC12">
            <v>0</v>
          </cell>
          <cell r="CD12">
            <v>0</v>
          </cell>
          <cell r="CF12">
            <v>0</v>
          </cell>
          <cell r="CI12">
            <v>0</v>
          </cell>
          <cell r="CJ12">
            <v>0</v>
          </cell>
          <cell r="CK12">
            <v>0</v>
          </cell>
          <cell r="CL12">
            <v>0</v>
          </cell>
          <cell r="CN12">
            <v>0</v>
          </cell>
          <cell r="CO12">
            <v>0</v>
          </cell>
          <cell r="CQ12">
            <v>1</v>
          </cell>
          <cell r="CR12">
            <v>1</v>
          </cell>
          <cell r="CS12">
            <v>0</v>
          </cell>
          <cell r="CU12">
            <v>0.27</v>
          </cell>
          <cell r="CV12">
            <v>0.27</v>
          </cell>
          <cell r="CX12">
            <v>0</v>
          </cell>
          <cell r="DD12">
            <v>1</v>
          </cell>
          <cell r="DE12">
            <v>1</v>
          </cell>
          <cell r="DF12">
            <v>1</v>
          </cell>
          <cell r="DG12">
            <v>0.75</v>
          </cell>
          <cell r="DH12">
            <v>1</v>
          </cell>
          <cell r="DJ12">
            <v>0</v>
          </cell>
          <cell r="DK12">
            <v>0</v>
          </cell>
          <cell r="DL12">
            <v>0</v>
          </cell>
          <cell r="DM12">
            <v>0</v>
          </cell>
          <cell r="DN12">
            <v>0</v>
          </cell>
          <cell r="DO12">
            <v>0</v>
          </cell>
          <cell r="DP12">
            <v>0</v>
          </cell>
          <cell r="DR12">
            <v>0</v>
          </cell>
          <cell r="DS12">
            <v>0</v>
          </cell>
          <cell r="DT12">
            <v>0</v>
          </cell>
          <cell r="DU12">
            <v>0</v>
          </cell>
          <cell r="DV12">
            <v>0</v>
          </cell>
          <cell r="DW12">
            <v>0</v>
          </cell>
          <cell r="DY12">
            <v>0</v>
          </cell>
          <cell r="DZ12">
            <v>0</v>
          </cell>
          <cell r="EA12">
            <v>0</v>
          </cell>
          <cell r="EI12">
            <v>0</v>
          </cell>
          <cell r="EK12">
            <v>0</v>
          </cell>
          <cell r="EL12">
            <v>0</v>
          </cell>
          <cell r="EM12">
            <v>0</v>
          </cell>
        </row>
        <row r="14">
          <cell r="A14" t="str">
            <v>Unit Value</v>
          </cell>
          <cell r="G14">
            <v>6.0990005421484437</v>
          </cell>
          <cell r="H14">
            <v>3.496431241446202</v>
          </cell>
          <cell r="I14">
            <v>3.0528145657894745</v>
          </cell>
          <cell r="J14">
            <v>3.5625093391139</v>
          </cell>
          <cell r="U14">
            <v>2906.7795787694736</v>
          </cell>
          <cell r="Y14">
            <v>2450.3294975227932</v>
          </cell>
          <cell r="Z14">
            <v>2450.3294975227932</v>
          </cell>
          <cell r="AA14">
            <v>2569.3031288080288</v>
          </cell>
          <cell r="AB14">
            <v>2569.3031288080288</v>
          </cell>
          <cell r="AC14">
            <v>2569.3031288080288</v>
          </cell>
          <cell r="AD14">
            <v>2569.3031288080288</v>
          </cell>
          <cell r="AW14">
            <v>3326.3930074312998</v>
          </cell>
          <cell r="AX14">
            <v>3326.3930074312998</v>
          </cell>
          <cell r="AY14">
            <v>3326.3930074312998</v>
          </cell>
          <cell r="AZ14">
            <v>3789.6558982946494</v>
          </cell>
          <cell r="BA14">
            <v>3789.6558982946494</v>
          </cell>
          <cell r="BB14">
            <v>3789.6558982946494</v>
          </cell>
          <cell r="BE14">
            <v>7856.1976204856383</v>
          </cell>
          <cell r="BF14">
            <v>11968.689829424153</v>
          </cell>
          <cell r="BG14">
            <v>11906.359666484763</v>
          </cell>
          <cell r="BH14">
            <v>13256.846530171551</v>
          </cell>
          <cell r="BI14">
            <v>13072.453131475855</v>
          </cell>
          <cell r="BJ14">
            <v>12889.358277841397</v>
          </cell>
          <cell r="BK14">
            <v>17244.756325934959</v>
          </cell>
          <cell r="BL14">
            <v>17122.01784674681</v>
          </cell>
          <cell r="BM14">
            <v>18904.219001492551</v>
          </cell>
          <cell r="BN14">
            <v>6014.8607236511534</v>
          </cell>
          <cell r="BO14">
            <v>18488.684581896614</v>
          </cell>
        </row>
        <row r="16">
          <cell r="A16" t="str">
            <v>Additional Spend Unit Values Early Years</v>
          </cell>
          <cell r="BR16" t="str">
            <v>Additional Spend Unit Values Early Years</v>
          </cell>
          <cell r="BS16">
            <v>0.2036</v>
          </cell>
          <cell r="BT16">
            <v>47500</v>
          </cell>
          <cell r="BU16">
            <v>0.2036</v>
          </cell>
          <cell r="BV16">
            <v>1E-3</v>
          </cell>
          <cell r="BW16">
            <v>1.0000000000000001E-5</v>
          </cell>
          <cell r="BX16">
            <v>1E-4</v>
          </cell>
          <cell r="BY16">
            <v>1E-3</v>
          </cell>
          <cell r="BZ16">
            <v>1.7611399999999999</v>
          </cell>
          <cell r="CA16">
            <v>1E-3</v>
          </cell>
          <cell r="CB16">
            <v>1E-3</v>
          </cell>
          <cell r="CC16">
            <v>1E-3</v>
          </cell>
          <cell r="CD16">
            <v>1E-3</v>
          </cell>
        </row>
        <row r="17">
          <cell r="A17" t="str">
            <v>Additional Spend Unit Values Primary</v>
          </cell>
          <cell r="BR17" t="str">
            <v>Additional Spend Unit Values Primary</v>
          </cell>
          <cell r="CF17">
            <v>11340.305565018814</v>
          </cell>
          <cell r="CJ17">
            <v>17.304430933686298</v>
          </cell>
          <cell r="CK17">
            <v>20.29699924132888</v>
          </cell>
          <cell r="CL17">
            <v>38.475058218147801</v>
          </cell>
          <cell r="CQ17">
            <v>1.0000000000000001E-5</v>
          </cell>
          <cell r="CR17">
            <v>200.97142192711499</v>
          </cell>
          <cell r="CS17">
            <v>202.08526015125898</v>
          </cell>
          <cell r="CU17">
            <v>600.64775020415561</v>
          </cell>
          <cell r="CV17">
            <v>600.64775020415561</v>
          </cell>
          <cell r="CX17">
            <v>1E-3</v>
          </cell>
          <cell r="DD17">
            <v>1474.7154134107291</v>
          </cell>
          <cell r="DE17">
            <v>1E-3</v>
          </cell>
          <cell r="DF17">
            <v>856.11742475261747</v>
          </cell>
          <cell r="DJ17">
            <v>190.94503354876039</v>
          </cell>
          <cell r="DK17">
            <v>1E-3</v>
          </cell>
          <cell r="DL17">
            <v>1.4313420310162734</v>
          </cell>
          <cell r="DM17">
            <v>70073</v>
          </cell>
          <cell r="DR17">
            <v>1E-3</v>
          </cell>
          <cell r="DS17">
            <v>1E-3</v>
          </cell>
          <cell r="DT17">
            <v>1E-3</v>
          </cell>
          <cell r="DY17">
            <v>326.7839442401052</v>
          </cell>
          <cell r="DZ17">
            <v>3.4536126504642066</v>
          </cell>
          <cell r="EA17">
            <v>282.35603008131017</v>
          </cell>
          <cell r="EI17">
            <v>1E-3</v>
          </cell>
          <cell r="EL17">
            <v>1E-3</v>
          </cell>
          <cell r="EM17">
            <v>1E-3</v>
          </cell>
        </row>
        <row r="18">
          <cell r="A18" t="str">
            <v>Additional Spend Unit Values Secondary</v>
          </cell>
          <cell r="BR18" t="str">
            <v>Additional Spend Unit Values Secondary</v>
          </cell>
          <cell r="CJ18">
            <v>17.304430933686298</v>
          </cell>
          <cell r="CK18">
            <v>30.92201278725328</v>
          </cell>
          <cell r="CL18">
            <v>38.475058218147801</v>
          </cell>
          <cell r="CN18">
            <v>1E-3</v>
          </cell>
          <cell r="CO18">
            <v>1E-3</v>
          </cell>
          <cell r="CQ18">
            <v>1E-3</v>
          </cell>
          <cell r="CR18">
            <v>205.98797312478598</v>
          </cell>
          <cell r="CS18">
            <v>202.65829189359198</v>
          </cell>
          <cell r="CU18">
            <v>582.64924143295434</v>
          </cell>
          <cell r="CX18">
            <v>1E-3</v>
          </cell>
          <cell r="DD18">
            <v>1280.2255130501539</v>
          </cell>
          <cell r="DE18">
            <v>1E-3</v>
          </cell>
          <cell r="DF18">
            <v>1657.4868066924982</v>
          </cell>
          <cell r="DG18">
            <v>874.23602830713594</v>
          </cell>
          <cell r="DH18">
            <v>1E-3</v>
          </cell>
          <cell r="DJ18">
            <v>190.94503354876039</v>
          </cell>
          <cell r="DK18">
            <v>0.01</v>
          </cell>
          <cell r="DL18">
            <v>1.3812002145126985</v>
          </cell>
          <cell r="DM18">
            <v>349775</v>
          </cell>
          <cell r="DR18">
            <v>1E-3</v>
          </cell>
          <cell r="DS18">
            <v>1E-3</v>
          </cell>
          <cell r="DT18">
            <v>1E-3</v>
          </cell>
          <cell r="DU18">
            <v>19329.921551105632</v>
          </cell>
          <cell r="DY18">
            <v>1303.1030892469601</v>
          </cell>
          <cell r="DZ18">
            <v>5.2319654331659242</v>
          </cell>
          <cell r="EA18">
            <v>384.83242785983924</v>
          </cell>
          <cell r="EI18">
            <v>1E-3</v>
          </cell>
          <cell r="EK18">
            <v>1E-3</v>
          </cell>
          <cell r="EL18">
            <v>1E-3</v>
          </cell>
          <cell r="EM18">
            <v>1E-3</v>
          </cell>
        </row>
        <row r="19">
          <cell r="A19" t="str">
            <v>Additional Spend Unit Values Special</v>
          </cell>
          <cell r="BR19" t="str">
            <v>Additional Spend Unit Values Special</v>
          </cell>
          <cell r="CI19">
            <v>664.76</v>
          </cell>
          <cell r="CL19">
            <v>38.1545422637979</v>
          </cell>
          <cell r="DL19">
            <v>150.85167049027518</v>
          </cell>
          <cell r="DM19">
            <v>1E-3</v>
          </cell>
          <cell r="DN19">
            <v>144621.54837177516</v>
          </cell>
          <cell r="DO19">
            <v>42.425727805104955</v>
          </cell>
          <cell r="DP19">
            <v>189.53701857300527</v>
          </cell>
          <cell r="DR19">
            <v>1E-3</v>
          </cell>
          <cell r="DS19">
            <v>1E-3</v>
          </cell>
          <cell r="DT19">
            <v>1E-3</v>
          </cell>
          <cell r="DV19">
            <v>143000</v>
          </cell>
          <cell r="DW19">
            <v>1E-3</v>
          </cell>
          <cell r="EI19">
            <v>1E-3</v>
          </cell>
          <cell r="EK19">
            <v>1E-3</v>
          </cell>
          <cell r="EL19">
            <v>1E-3</v>
          </cell>
          <cell r="EM19">
            <v>1E-3</v>
          </cell>
        </row>
        <row r="20">
          <cell r="BR20">
            <v>0</v>
          </cell>
        </row>
        <row r="21">
          <cell r="A21" t="str">
            <v>Nursery Schools</v>
          </cell>
        </row>
        <row r="22">
          <cell r="C22" t="str">
            <v>Lord Street Nursery School</v>
          </cell>
          <cell r="D22">
            <v>1005</v>
          </cell>
          <cell r="F22" t="str">
            <v/>
          </cell>
          <cell r="G22">
            <v>53010</v>
          </cell>
          <cell r="H22">
            <v>0</v>
          </cell>
          <cell r="I22">
            <v>0</v>
          </cell>
          <cell r="J22">
            <v>0</v>
          </cell>
          <cell r="L22">
            <v>323308.01873928902</v>
          </cell>
          <cell r="M22">
            <v>53010</v>
          </cell>
          <cell r="N22">
            <v>55.8</v>
          </cell>
          <cell r="S22">
            <v>0</v>
          </cell>
          <cell r="T22">
            <v>0</v>
          </cell>
          <cell r="BS22">
            <v>33074.82</v>
          </cell>
          <cell r="BT22">
            <v>47500</v>
          </cell>
          <cell r="BU22">
            <v>1740.78</v>
          </cell>
          <cell r="BV22">
            <v>0</v>
          </cell>
          <cell r="BW22">
            <v>7959.48</v>
          </cell>
          <cell r="BX22">
            <v>3753.5553359434125</v>
          </cell>
          <cell r="BY22">
            <v>0</v>
          </cell>
          <cell r="BZ22">
            <v>7026.9486000000006</v>
          </cell>
          <cell r="CA22">
            <v>0</v>
          </cell>
          <cell r="CB22">
            <v>84309.717893589856</v>
          </cell>
          <cell r="CC22">
            <v>0</v>
          </cell>
          <cell r="CD22">
            <v>0</v>
          </cell>
          <cell r="CE22">
            <v>185365.30182953327</v>
          </cell>
          <cell r="EP22">
            <v>0</v>
          </cell>
          <cell r="EQ22">
            <v>508673.32056882232</v>
          </cell>
          <cell r="ER22">
            <v>508673.32056882232</v>
          </cell>
          <cell r="ET22">
            <v>55.8</v>
          </cell>
          <cell r="EU22">
            <v>9116.009329190365</v>
          </cell>
          <cell r="EV22" t="str">
            <v>No Variation Applied</v>
          </cell>
          <cell r="EX22">
            <v>0</v>
          </cell>
          <cell r="EY22">
            <v>0</v>
          </cell>
          <cell r="EZ22">
            <v>93077.446493589858</v>
          </cell>
        </row>
        <row r="23">
          <cell r="C23" t="str">
            <v>Central Community Nursery School</v>
          </cell>
          <cell r="D23">
            <v>1006</v>
          </cell>
          <cell r="F23" t="str">
            <v/>
          </cell>
          <cell r="G23">
            <v>37524</v>
          </cell>
          <cell r="H23">
            <v>0</v>
          </cell>
          <cell r="I23">
            <v>0</v>
          </cell>
          <cell r="J23">
            <v>0</v>
          </cell>
          <cell r="L23">
            <v>228858.89634357821</v>
          </cell>
          <cell r="M23">
            <v>37524</v>
          </cell>
          <cell r="N23">
            <v>39.498947368421049</v>
          </cell>
          <cell r="S23">
            <v>0</v>
          </cell>
          <cell r="T23">
            <v>0</v>
          </cell>
          <cell r="BS23">
            <v>12371.1432</v>
          </cell>
          <cell r="BT23">
            <v>47500</v>
          </cell>
          <cell r="BU23">
            <v>1508.6759999999999</v>
          </cell>
          <cell r="BV23">
            <v>1502</v>
          </cell>
          <cell r="BW23">
            <v>4379.08</v>
          </cell>
          <cell r="BX23">
            <v>39495.21009628725</v>
          </cell>
          <cell r="BY23">
            <v>3754.0484387759725</v>
          </cell>
          <cell r="BZ23">
            <v>2007.6995999999999</v>
          </cell>
          <cell r="CA23">
            <v>0</v>
          </cell>
          <cell r="CB23">
            <v>84309.717893589856</v>
          </cell>
          <cell r="CC23">
            <v>36894.824524094758</v>
          </cell>
          <cell r="CD23">
            <v>0</v>
          </cell>
          <cell r="CE23">
            <v>233722.39975274785</v>
          </cell>
          <cell r="EP23">
            <v>0</v>
          </cell>
          <cell r="EQ23">
            <v>462581.29609632608</v>
          </cell>
          <cell r="ER23">
            <v>462581.29609632608</v>
          </cell>
          <cell r="ET23">
            <v>39.498947368421049</v>
          </cell>
          <cell r="EU23">
            <v>11711.230979946429</v>
          </cell>
          <cell r="EV23" t="str">
            <v>No Variation Applied</v>
          </cell>
          <cell r="EX23">
            <v>0</v>
          </cell>
          <cell r="EY23">
            <v>0</v>
          </cell>
          <cell r="EZ23">
            <v>91580.141932365848</v>
          </cell>
        </row>
        <row r="24">
          <cell r="C24" t="str">
            <v>Harrington Nursery School</v>
          </cell>
          <cell r="D24">
            <v>1008</v>
          </cell>
          <cell r="F24" t="str">
            <v/>
          </cell>
          <cell r="G24">
            <v>45600</v>
          </cell>
          <cell r="H24">
            <v>0</v>
          </cell>
          <cell r="I24">
            <v>0</v>
          </cell>
          <cell r="J24">
            <v>0</v>
          </cell>
          <cell r="L24">
            <v>278114.42472196906</v>
          </cell>
          <cell r="M24">
            <v>45600</v>
          </cell>
          <cell r="N24">
            <v>48</v>
          </cell>
          <cell r="S24">
            <v>0</v>
          </cell>
          <cell r="T24">
            <v>0</v>
          </cell>
          <cell r="BS24">
            <v>27156.167999999998</v>
          </cell>
          <cell r="BT24">
            <v>47500</v>
          </cell>
          <cell r="BU24">
            <v>6034.7039999999997</v>
          </cell>
          <cell r="BV24">
            <v>16143</v>
          </cell>
          <cell r="BW24">
            <v>1692.76</v>
          </cell>
          <cell r="BX24">
            <v>-8.623310754832346</v>
          </cell>
          <cell r="BY24">
            <v>23275.100320411031</v>
          </cell>
          <cell r="BZ24">
            <v>4015.3991999999998</v>
          </cell>
          <cell r="CA24">
            <v>0</v>
          </cell>
          <cell r="CB24">
            <v>0</v>
          </cell>
          <cell r="CC24">
            <v>4282.864690168004</v>
          </cell>
          <cell r="CD24">
            <v>0</v>
          </cell>
          <cell r="CE24">
            <v>130091.3728998242</v>
          </cell>
          <cell r="EP24">
            <v>0</v>
          </cell>
          <cell r="EQ24">
            <v>408205.79762179323</v>
          </cell>
          <cell r="ER24">
            <v>408205.79762179323</v>
          </cell>
          <cell r="ET24">
            <v>48</v>
          </cell>
          <cell r="EU24">
            <v>8504.287450454025</v>
          </cell>
          <cell r="EV24" t="str">
            <v>No Variation Applied</v>
          </cell>
          <cell r="EX24">
            <v>0</v>
          </cell>
          <cell r="EY24">
            <v>0</v>
          </cell>
          <cell r="EZ24">
            <v>33325.203520411029</v>
          </cell>
        </row>
        <row r="25">
          <cell r="C25" t="str">
            <v>Walbrook Nursery School</v>
          </cell>
          <cell r="D25">
            <v>1009</v>
          </cell>
          <cell r="F25" t="str">
            <v/>
          </cell>
          <cell r="G25">
            <v>45600</v>
          </cell>
          <cell r="H25">
            <v>0</v>
          </cell>
          <cell r="I25">
            <v>0</v>
          </cell>
          <cell r="J25">
            <v>0</v>
          </cell>
          <cell r="L25">
            <v>278114.42472196906</v>
          </cell>
          <cell r="M25">
            <v>45600</v>
          </cell>
          <cell r="N25">
            <v>48</v>
          </cell>
          <cell r="S25">
            <v>0</v>
          </cell>
          <cell r="T25">
            <v>0</v>
          </cell>
          <cell r="BS25">
            <v>25763.544000000002</v>
          </cell>
          <cell r="BT25">
            <v>47500</v>
          </cell>
          <cell r="BU25">
            <v>3713.6640000000002</v>
          </cell>
          <cell r="BV25">
            <v>0</v>
          </cell>
          <cell r="BW25">
            <v>3320.41</v>
          </cell>
          <cell r="BX25">
            <v>-3298.4292772845947</v>
          </cell>
          <cell r="BY25">
            <v>9760.525940817528</v>
          </cell>
          <cell r="BZ25">
            <v>2007.6995999999999</v>
          </cell>
          <cell r="CA25">
            <v>0</v>
          </cell>
          <cell r="CB25">
            <v>0</v>
          </cell>
          <cell r="CC25">
            <v>1540.2654465621454</v>
          </cell>
          <cell r="CD25">
            <v>8840.6951250000002</v>
          </cell>
          <cell r="CE25">
            <v>99148.374835095077</v>
          </cell>
          <cell r="EP25">
            <v>0</v>
          </cell>
          <cell r="EQ25">
            <v>377262.79955706414</v>
          </cell>
          <cell r="ER25">
            <v>377262.79955706414</v>
          </cell>
          <cell r="ET25">
            <v>48</v>
          </cell>
          <cell r="EU25">
            <v>7859.6416574388359</v>
          </cell>
          <cell r="EV25" t="str">
            <v>No Variation Applied</v>
          </cell>
          <cell r="EX25">
            <v>0</v>
          </cell>
          <cell r="EY25">
            <v>0</v>
          </cell>
          <cell r="EZ25">
            <v>15481.889540817529</v>
          </cell>
        </row>
        <row r="26">
          <cell r="C26" t="str">
            <v>Stonehill Nursery School</v>
          </cell>
          <cell r="D26">
            <v>1010</v>
          </cell>
          <cell r="F26" t="str">
            <v/>
          </cell>
          <cell r="G26">
            <v>37650</v>
          </cell>
          <cell r="H26">
            <v>0</v>
          </cell>
          <cell r="I26">
            <v>0</v>
          </cell>
          <cell r="J26">
            <v>0</v>
          </cell>
          <cell r="L26">
            <v>229627.3704118889</v>
          </cell>
          <cell r="M26">
            <v>37650</v>
          </cell>
          <cell r="N26">
            <v>39.631578947368418</v>
          </cell>
          <cell r="S26">
            <v>0</v>
          </cell>
          <cell r="T26">
            <v>0</v>
          </cell>
          <cell r="BS26">
            <v>19148.580000000002</v>
          </cell>
          <cell r="BT26">
            <v>47500</v>
          </cell>
          <cell r="BU26">
            <v>5918.652</v>
          </cell>
          <cell r="BV26">
            <v>0</v>
          </cell>
          <cell r="BW26">
            <v>1725.32</v>
          </cell>
          <cell r="BX26">
            <v>-23045.603770437243</v>
          </cell>
          <cell r="BY26">
            <v>9760.525940817528</v>
          </cell>
          <cell r="BZ26">
            <v>1003.8498</v>
          </cell>
          <cell r="CA26">
            <v>0</v>
          </cell>
          <cell r="CB26">
            <v>0</v>
          </cell>
          <cell r="CC26">
            <v>94616.697208817641</v>
          </cell>
          <cell r="CD26">
            <v>0</v>
          </cell>
          <cell r="CE26">
            <v>156628.02117919794</v>
          </cell>
          <cell r="EP26">
            <v>0</v>
          </cell>
          <cell r="EQ26">
            <v>386255.39159108687</v>
          </cell>
          <cell r="ER26">
            <v>386255.39159108687</v>
          </cell>
          <cell r="ET26">
            <v>39.631578947368418</v>
          </cell>
          <cell r="EU26">
            <v>9746.1519790579696</v>
          </cell>
          <cell r="EV26" t="str">
            <v>No Variation Applied</v>
          </cell>
          <cell r="EX26">
            <v>0</v>
          </cell>
          <cell r="EY26">
            <v>0</v>
          </cell>
          <cell r="EZ26">
            <v>16683.027740817528</v>
          </cell>
        </row>
        <row r="27">
          <cell r="C27" t="str">
            <v>Ashgate Nursery School</v>
          </cell>
          <cell r="D27">
            <v>1014</v>
          </cell>
          <cell r="F27" t="str">
            <v/>
          </cell>
          <cell r="G27">
            <v>31698</v>
          </cell>
          <cell r="H27">
            <v>0</v>
          </cell>
          <cell r="I27">
            <v>0</v>
          </cell>
          <cell r="J27">
            <v>0</v>
          </cell>
          <cell r="L27">
            <v>193326.11918502138</v>
          </cell>
          <cell r="M27">
            <v>31698</v>
          </cell>
          <cell r="N27">
            <v>33.366315789473681</v>
          </cell>
          <cell r="S27">
            <v>0</v>
          </cell>
          <cell r="T27">
            <v>0</v>
          </cell>
          <cell r="BS27">
            <v>9377.0015999999996</v>
          </cell>
          <cell r="BT27">
            <v>47500</v>
          </cell>
          <cell r="BU27">
            <v>464.20800000000003</v>
          </cell>
          <cell r="BV27">
            <v>0</v>
          </cell>
          <cell r="BW27">
            <v>6560.64</v>
          </cell>
          <cell r="BX27">
            <v>-5586.1423095781356</v>
          </cell>
          <cell r="BY27">
            <v>0</v>
          </cell>
          <cell r="BZ27">
            <v>4015.3991999999998</v>
          </cell>
          <cell r="CA27">
            <v>0</v>
          </cell>
          <cell r="CB27">
            <v>0</v>
          </cell>
          <cell r="CC27">
            <v>45591.875325018947</v>
          </cell>
          <cell r="CD27">
            <v>0</v>
          </cell>
          <cell r="CE27">
            <v>107922.98181544081</v>
          </cell>
          <cell r="EP27">
            <v>0</v>
          </cell>
          <cell r="EQ27">
            <v>301249.10100046219</v>
          </cell>
          <cell r="ER27">
            <v>301249.10100046219</v>
          </cell>
          <cell r="ET27">
            <v>33.366315789473681</v>
          </cell>
          <cell r="EU27">
            <v>9028.5395277443095</v>
          </cell>
          <cell r="EV27" t="str">
            <v>No Variation Applied</v>
          </cell>
          <cell r="EX27">
            <v>0</v>
          </cell>
          <cell r="EY27">
            <v>0</v>
          </cell>
          <cell r="EZ27">
            <v>4479.6071999999995</v>
          </cell>
        </row>
        <row r="28">
          <cell r="C28" t="str">
            <v>Whitecross Nursery School</v>
          </cell>
          <cell r="D28">
            <v>1015</v>
          </cell>
          <cell r="F28" t="str">
            <v/>
          </cell>
          <cell r="G28">
            <v>43338</v>
          </cell>
          <cell r="H28">
            <v>0</v>
          </cell>
          <cell r="I28">
            <v>0</v>
          </cell>
          <cell r="J28">
            <v>0</v>
          </cell>
          <cell r="L28">
            <v>264318.48549562925</v>
          </cell>
          <cell r="M28">
            <v>43338</v>
          </cell>
          <cell r="N28">
            <v>45.618947368421054</v>
          </cell>
          <cell r="S28">
            <v>0</v>
          </cell>
          <cell r="T28">
            <v>0</v>
          </cell>
          <cell r="BS28">
            <v>3272.6664000000001</v>
          </cell>
          <cell r="BT28">
            <v>47500</v>
          </cell>
          <cell r="BU28">
            <v>232.10400000000001</v>
          </cell>
          <cell r="BV28">
            <v>0</v>
          </cell>
          <cell r="BW28">
            <v>2148.5100000000002</v>
          </cell>
          <cell r="BX28">
            <v>20232.521069210634</v>
          </cell>
          <cell r="BY28">
            <v>22824.614507757913</v>
          </cell>
          <cell r="BZ28">
            <v>1003.8498</v>
          </cell>
          <cell r="CA28">
            <v>0</v>
          </cell>
          <cell r="CB28">
            <v>0</v>
          </cell>
          <cell r="CC28">
            <v>0</v>
          </cell>
          <cell r="CD28">
            <v>0</v>
          </cell>
          <cell r="CE28">
            <v>97214.265776968547</v>
          </cell>
          <cell r="EP28">
            <v>0</v>
          </cell>
          <cell r="EQ28">
            <v>361532.75127259782</v>
          </cell>
          <cell r="ER28">
            <v>361532.75127259782</v>
          </cell>
          <cell r="ET28">
            <v>45.618947368421054</v>
          </cell>
          <cell r="EU28">
            <v>7925.0568487001692</v>
          </cell>
          <cell r="EV28" t="str">
            <v>No Variation Applied</v>
          </cell>
          <cell r="EX28">
            <v>0</v>
          </cell>
          <cell r="EY28">
            <v>0</v>
          </cell>
          <cell r="EZ28">
            <v>24060.568307757912</v>
          </cell>
        </row>
        <row r="29">
          <cell r="C29" t="str">
            <v>Castle Nursery School</v>
          </cell>
          <cell r="D29">
            <v>1017</v>
          </cell>
          <cell r="F29" t="str">
            <v/>
          </cell>
          <cell r="G29">
            <v>16572</v>
          </cell>
          <cell r="H29">
            <v>0</v>
          </cell>
          <cell r="I29">
            <v>0</v>
          </cell>
          <cell r="J29">
            <v>0</v>
          </cell>
          <cell r="L29">
            <v>101072.63698448401</v>
          </cell>
          <cell r="M29">
            <v>16572</v>
          </cell>
          <cell r="N29">
            <v>17.444210526315789</v>
          </cell>
          <cell r="S29">
            <v>0</v>
          </cell>
          <cell r="T29">
            <v>0</v>
          </cell>
          <cell r="BS29">
            <v>7357.6968000000006</v>
          </cell>
          <cell r="BT29">
            <v>47500</v>
          </cell>
          <cell r="BU29">
            <v>1740.78</v>
          </cell>
          <cell r="BV29">
            <v>1001</v>
          </cell>
          <cell r="BW29">
            <v>4287.2700000000004</v>
          </cell>
          <cell r="BX29">
            <v>29373.456776685489</v>
          </cell>
          <cell r="BY29">
            <v>1251.349479591991</v>
          </cell>
          <cell r="BZ29">
            <v>1003.8498</v>
          </cell>
          <cell r="CA29">
            <v>0</v>
          </cell>
          <cell r="CB29">
            <v>0</v>
          </cell>
          <cell r="CC29">
            <v>58442.177117062209</v>
          </cell>
          <cell r="CD29">
            <v>0</v>
          </cell>
          <cell r="CE29">
            <v>151957.57997333969</v>
          </cell>
          <cell r="EP29">
            <v>0</v>
          </cell>
          <cell r="EQ29">
            <v>253030.21695782369</v>
          </cell>
          <cell r="ER29">
            <v>253030.21695782369</v>
          </cell>
          <cell r="ET29">
            <v>17.444210526315789</v>
          </cell>
          <cell r="EU29">
            <v>14505.111399344227</v>
          </cell>
          <cell r="EV29" t="str">
            <v>No Variation Applied</v>
          </cell>
          <cell r="EX29">
            <v>0</v>
          </cell>
          <cell r="EY29">
            <v>0</v>
          </cell>
          <cell r="EZ29">
            <v>3995.9792795919911</v>
          </cell>
        </row>
        <row r="31">
          <cell r="B31" t="str">
            <v>Total/average Nursery Schools</v>
          </cell>
          <cell r="G31">
            <v>310992</v>
          </cell>
          <cell r="H31">
            <v>0</v>
          </cell>
          <cell r="I31">
            <v>0</v>
          </cell>
          <cell r="J31">
            <v>0</v>
          </cell>
          <cell r="K31">
            <v>0</v>
          </cell>
          <cell r="L31">
            <v>1896740.376603829</v>
          </cell>
          <cell r="M31">
            <v>310992</v>
          </cell>
          <cell r="N31">
            <v>327.35999999999996</v>
          </cell>
          <cell r="O31">
            <v>0</v>
          </cell>
          <cell r="P31">
            <v>0</v>
          </cell>
          <cell r="Q31">
            <v>0</v>
          </cell>
          <cell r="R31">
            <v>0</v>
          </cell>
          <cell r="S31">
            <v>0</v>
          </cell>
          <cell r="T31">
            <v>0</v>
          </cell>
          <cell r="BS31">
            <v>137521.62</v>
          </cell>
          <cell r="BT31">
            <v>380000</v>
          </cell>
          <cell r="BU31">
            <v>21353.567999999999</v>
          </cell>
          <cell r="BV31">
            <v>18646</v>
          </cell>
          <cell r="BW31">
            <v>32073.469999999998</v>
          </cell>
          <cell r="BX31">
            <v>60915.94461007198</v>
          </cell>
          <cell r="BY31">
            <v>70626.164628171973</v>
          </cell>
          <cell r="BZ31">
            <v>22084.695599999999</v>
          </cell>
          <cell r="CA31">
            <v>0</v>
          </cell>
          <cell r="CB31">
            <v>168619.43578717971</v>
          </cell>
          <cell r="CC31">
            <v>241368.7043117237</v>
          </cell>
          <cell r="CD31">
            <v>8840.6951250000002</v>
          </cell>
          <cell r="CE31">
            <v>1162050.2980621473</v>
          </cell>
          <cell r="EP31">
            <v>0</v>
          </cell>
          <cell r="EQ31">
            <v>3058790.6746659768</v>
          </cell>
          <cell r="ER31">
            <v>3058790.6746659763</v>
          </cell>
          <cell r="ET31">
            <v>327.35999999999996</v>
          </cell>
          <cell r="EU31">
            <v>9343.8131557489505</v>
          </cell>
          <cell r="EX31">
            <v>0</v>
          </cell>
          <cell r="EY31">
            <v>0</v>
          </cell>
          <cell r="EZ31">
            <v>282683.86401535169</v>
          </cell>
        </row>
        <row r="33">
          <cell r="B33" t="str">
            <v>PVI Providers TOTAL</v>
          </cell>
          <cell r="G33">
            <v>0</v>
          </cell>
          <cell r="H33">
            <v>0</v>
          </cell>
          <cell r="I33">
            <v>264836</v>
          </cell>
          <cell r="J33">
            <v>672478</v>
          </cell>
          <cell r="L33">
            <v>3204204.3536940585</v>
          </cell>
          <cell r="M33">
            <v>937314</v>
          </cell>
          <cell r="N33">
            <v>986.64631578947365</v>
          </cell>
          <cell r="S33">
            <v>0</v>
          </cell>
          <cell r="T33">
            <v>0</v>
          </cell>
          <cell r="BS33">
            <v>190963.15880000003</v>
          </cell>
          <cell r="BT33">
            <v>0</v>
          </cell>
          <cell r="BU33">
            <v>25605.753999999994</v>
          </cell>
          <cell r="BV33">
            <v>0</v>
          </cell>
          <cell r="BW33">
            <v>0</v>
          </cell>
          <cell r="BX33">
            <v>0</v>
          </cell>
          <cell r="BY33">
            <v>0</v>
          </cell>
          <cell r="BZ33">
            <v>40622.455239999981</v>
          </cell>
          <cell r="CA33">
            <v>-123465.43852615121</v>
          </cell>
          <cell r="CB33">
            <v>0</v>
          </cell>
          <cell r="CC33">
            <v>90744</v>
          </cell>
          <cell r="CD33">
            <v>0</v>
          </cell>
          <cell r="CE33">
            <v>224469.92951384879</v>
          </cell>
          <cell r="EP33">
            <v>0</v>
          </cell>
          <cell r="EQ33">
            <v>3428674.2832079073</v>
          </cell>
          <cell r="ER33">
            <v>3428674.2832079073</v>
          </cell>
          <cell r="ET33">
            <v>937314</v>
          </cell>
          <cell r="EU33">
            <v>3.6579783116521329</v>
          </cell>
          <cell r="EX33">
            <v>0</v>
          </cell>
          <cell r="EY33">
            <v>0</v>
          </cell>
          <cell r="EZ33">
            <v>0</v>
          </cell>
        </row>
        <row r="35">
          <cell r="A35" t="str">
            <v>Primary Schools</v>
          </cell>
        </row>
        <row r="36">
          <cell r="C36" t="str">
            <v>Reigate Primary School</v>
          </cell>
          <cell r="D36">
            <v>2000</v>
          </cell>
          <cell r="F36" t="str">
            <v/>
          </cell>
          <cell r="G36">
            <v>0</v>
          </cell>
          <cell r="H36">
            <v>17940</v>
          </cell>
          <cell r="I36">
            <v>0</v>
          </cell>
          <cell r="J36">
            <v>0</v>
          </cell>
          <cell r="L36">
            <v>62725.976471544862</v>
          </cell>
          <cell r="M36">
            <v>17940</v>
          </cell>
          <cell r="N36">
            <v>18.88421052631579</v>
          </cell>
          <cell r="S36">
            <v>0</v>
          </cell>
          <cell r="T36">
            <v>0</v>
          </cell>
          <cell r="U36">
            <v>52</v>
          </cell>
          <cell r="Y36">
            <v>38</v>
          </cell>
          <cell r="Z36">
            <v>46</v>
          </cell>
          <cell r="AA36">
            <v>42</v>
          </cell>
          <cell r="AB36">
            <v>38</v>
          </cell>
          <cell r="AC36">
            <v>40</v>
          </cell>
          <cell r="AD36">
            <v>53</v>
          </cell>
          <cell r="AK36">
            <v>801469.65717171633</v>
          </cell>
          <cell r="AL36">
            <v>309</v>
          </cell>
          <cell r="BS36">
            <v>4758.1319999999996</v>
          </cell>
          <cell r="BT36">
            <v>0</v>
          </cell>
          <cell r="BU36">
            <v>464.20800000000003</v>
          </cell>
          <cell r="BV36">
            <v>0</v>
          </cell>
          <cell r="BW36">
            <v>0</v>
          </cell>
          <cell r="BX36">
            <v>-3185.652731254886</v>
          </cell>
          <cell r="BY36">
            <v>0</v>
          </cell>
          <cell r="BZ36">
            <v>0</v>
          </cell>
          <cell r="CA36">
            <v>0</v>
          </cell>
          <cell r="CB36">
            <v>0</v>
          </cell>
          <cell r="CC36">
            <v>0</v>
          </cell>
          <cell r="CD36">
            <v>0</v>
          </cell>
          <cell r="CE36">
            <v>2036.6872687451132</v>
          </cell>
          <cell r="CF36">
            <v>22680.611130037629</v>
          </cell>
          <cell r="CI36">
            <v>0</v>
          </cell>
          <cell r="CJ36">
            <v>0</v>
          </cell>
          <cell r="CK36">
            <v>6271.77</v>
          </cell>
          <cell r="CL36">
            <v>2300.8084814452386</v>
          </cell>
          <cell r="CM36">
            <v>31253.189611482867</v>
          </cell>
          <cell r="CQ36">
            <v>3046.9238377843717</v>
          </cell>
          <cell r="CR36">
            <v>2612.63</v>
          </cell>
          <cell r="CS36">
            <v>3637.5346827226617</v>
          </cell>
          <cell r="CT36">
            <v>9297.0885205070335</v>
          </cell>
          <cell r="CU36">
            <v>0</v>
          </cell>
          <cell r="CV36">
            <v>0</v>
          </cell>
          <cell r="CW36">
            <v>0</v>
          </cell>
          <cell r="CX36">
            <v>410850.88821681798</v>
          </cell>
          <cell r="CZ36">
            <v>410850.88821681798</v>
          </cell>
          <cell r="DC36">
            <v>0</v>
          </cell>
          <cell r="DD36">
            <v>119805.88018548762</v>
          </cell>
          <cell r="DE36">
            <v>75718.016615653687</v>
          </cell>
          <cell r="DF36">
            <v>6848.9393980209397</v>
          </cell>
          <cell r="DG36">
            <v>0</v>
          </cell>
          <cell r="DH36">
            <v>0</v>
          </cell>
          <cell r="DI36">
            <v>202372.83619916227</v>
          </cell>
          <cell r="DJ36">
            <v>0</v>
          </cell>
          <cell r="DK36">
            <v>15228.5</v>
          </cell>
          <cell r="DL36">
            <v>7828.26</v>
          </cell>
          <cell r="DM36">
            <v>70073.495851086889</v>
          </cell>
          <cell r="DN36">
            <v>0</v>
          </cell>
          <cell r="DO36">
            <v>0</v>
          </cell>
          <cell r="DP36">
            <v>0</v>
          </cell>
          <cell r="DQ36">
            <v>93130.255851086898</v>
          </cell>
          <cell r="DR36">
            <v>0</v>
          </cell>
          <cell r="DS36">
            <v>0</v>
          </cell>
          <cell r="DT36">
            <v>0</v>
          </cell>
          <cell r="DU36">
            <v>0</v>
          </cell>
          <cell r="DV36">
            <v>0</v>
          </cell>
          <cell r="DW36">
            <v>0</v>
          </cell>
          <cell r="DX36">
            <v>0</v>
          </cell>
          <cell r="DY36">
            <v>6208.8949405619987</v>
          </cell>
          <cell r="DZ36">
            <v>0</v>
          </cell>
          <cell r="EA36">
            <v>0</v>
          </cell>
          <cell r="EB36">
            <v>6208.8949405619987</v>
          </cell>
          <cell r="EE36">
            <v>0</v>
          </cell>
          <cell r="EH36">
            <v>0</v>
          </cell>
          <cell r="EI36">
            <v>0</v>
          </cell>
          <cell r="EK36">
            <v>0</v>
          </cell>
          <cell r="EL36">
            <v>3504</v>
          </cell>
          <cell r="EM36">
            <v>22184</v>
          </cell>
          <cell r="EO36">
            <v>25688</v>
          </cell>
          <cell r="EP36">
            <v>0</v>
          </cell>
          <cell r="EQ36">
            <v>64762.663740289972</v>
          </cell>
          <cell r="ER36">
            <v>1645033.4742516256</v>
          </cell>
          <cell r="ET36">
            <v>327.88421052631577</v>
          </cell>
          <cell r="EU36">
            <v>5017.1170841408857</v>
          </cell>
          <cell r="EV36" t="str">
            <v>No Variation Applied</v>
          </cell>
          <cell r="EW36">
            <v>69250</v>
          </cell>
          <cell r="EX36">
            <v>0</v>
          </cell>
          <cell r="EY36">
            <v>0</v>
          </cell>
          <cell r="EZ36">
            <v>562799.03318154742</v>
          </cell>
        </row>
        <row r="37">
          <cell r="C37" t="str">
            <v>Roe Farm Primary School</v>
          </cell>
          <cell r="D37">
            <v>2001</v>
          </cell>
          <cell r="F37" t="str">
            <v/>
          </cell>
          <cell r="G37">
            <v>0</v>
          </cell>
          <cell r="H37">
            <v>35940</v>
          </cell>
          <cell r="I37">
            <v>0</v>
          </cell>
          <cell r="J37">
            <v>0</v>
          </cell>
          <cell r="L37">
            <v>125661.73881757649</v>
          </cell>
          <cell r="M37">
            <v>35940</v>
          </cell>
          <cell r="N37">
            <v>37.831578947368421</v>
          </cell>
          <cell r="S37">
            <v>0</v>
          </cell>
          <cell r="T37">
            <v>0</v>
          </cell>
          <cell r="U37">
            <v>46</v>
          </cell>
          <cell r="Y37">
            <v>42</v>
          </cell>
          <cell r="Z37">
            <v>49</v>
          </cell>
          <cell r="AA37">
            <v>45</v>
          </cell>
          <cell r="AB37">
            <v>44</v>
          </cell>
          <cell r="AC37">
            <v>27</v>
          </cell>
          <cell r="AD37">
            <v>38</v>
          </cell>
          <cell r="AK37">
            <v>752364.52673440636</v>
          </cell>
          <cell r="AL37">
            <v>291</v>
          </cell>
          <cell r="BS37">
            <v>15318.864</v>
          </cell>
          <cell r="BT37">
            <v>0</v>
          </cell>
          <cell r="BU37">
            <v>580.26</v>
          </cell>
          <cell r="BV37">
            <v>0</v>
          </cell>
          <cell r="BW37">
            <v>0</v>
          </cell>
          <cell r="BX37">
            <v>13978.400800000003</v>
          </cell>
          <cell r="BY37">
            <v>0</v>
          </cell>
          <cell r="BZ37">
            <v>8030.7983999999997</v>
          </cell>
          <cell r="CA37">
            <v>0</v>
          </cell>
          <cell r="CB37">
            <v>0</v>
          </cell>
          <cell r="CC37">
            <v>0</v>
          </cell>
          <cell r="CD37">
            <v>0</v>
          </cell>
          <cell r="CE37">
            <v>37908.323199999999</v>
          </cell>
          <cell r="CF37">
            <v>22680.611130037629</v>
          </cell>
          <cell r="CI37">
            <v>0</v>
          </cell>
          <cell r="CJ37">
            <v>0</v>
          </cell>
          <cell r="CK37">
            <v>5906.43</v>
          </cell>
          <cell r="CL37">
            <v>1689.0550557766885</v>
          </cell>
          <cell r="CM37">
            <v>30276.096185814316</v>
          </cell>
          <cell r="CQ37">
            <v>2285.1928783382787</v>
          </cell>
          <cell r="CR37">
            <v>4622.34</v>
          </cell>
          <cell r="CS37">
            <v>3233.3641624201437</v>
          </cell>
          <cell r="CT37">
            <v>10140.897040758424</v>
          </cell>
          <cell r="CU37">
            <v>10511.335628572724</v>
          </cell>
          <cell r="CV37">
            <v>0</v>
          </cell>
          <cell r="CW37">
            <v>10511.335628572724</v>
          </cell>
          <cell r="CX37">
            <v>0</v>
          </cell>
          <cell r="CZ37">
            <v>0</v>
          </cell>
          <cell r="DC37">
            <v>0</v>
          </cell>
          <cell r="DD37">
            <v>213111.12439198446</v>
          </cell>
          <cell r="DE37">
            <v>147115.78603702085</v>
          </cell>
          <cell r="DF37">
            <v>24827.405317825906</v>
          </cell>
          <cell r="DG37">
            <v>0</v>
          </cell>
          <cell r="DH37">
            <v>0</v>
          </cell>
          <cell r="DI37">
            <v>385054.31574683118</v>
          </cell>
          <cell r="DJ37">
            <v>0</v>
          </cell>
          <cell r="DK37">
            <v>17289.5</v>
          </cell>
          <cell r="DL37">
            <v>10144.719999999999</v>
          </cell>
          <cell r="DM37">
            <v>70073.495851086889</v>
          </cell>
          <cell r="DN37">
            <v>0</v>
          </cell>
          <cell r="DO37">
            <v>0</v>
          </cell>
          <cell r="DP37">
            <v>0</v>
          </cell>
          <cell r="DQ37">
            <v>97507.71585108689</v>
          </cell>
          <cell r="DR37">
            <v>0</v>
          </cell>
          <cell r="DS37">
            <v>0</v>
          </cell>
          <cell r="DT37">
            <v>0</v>
          </cell>
          <cell r="DU37">
            <v>0</v>
          </cell>
          <cell r="DV37">
            <v>0</v>
          </cell>
          <cell r="DW37">
            <v>0</v>
          </cell>
          <cell r="DX37">
            <v>0</v>
          </cell>
          <cell r="DY37">
            <v>4248.1912751213677</v>
          </cell>
          <cell r="DZ37">
            <v>0</v>
          </cell>
          <cell r="EA37">
            <v>0</v>
          </cell>
          <cell r="EB37">
            <v>4248.1912751213677</v>
          </cell>
          <cell r="EE37">
            <v>0</v>
          </cell>
          <cell r="EH37">
            <v>0</v>
          </cell>
          <cell r="EI37">
            <v>0</v>
          </cell>
          <cell r="EK37">
            <v>0</v>
          </cell>
          <cell r="EL37">
            <v>0</v>
          </cell>
          <cell r="EM37">
            <v>0</v>
          </cell>
          <cell r="EO37">
            <v>0</v>
          </cell>
          <cell r="EP37">
            <v>0</v>
          </cell>
          <cell r="EQ37">
            <v>163570.06201757648</v>
          </cell>
          <cell r="ER37">
            <v>1453673.1404801679</v>
          </cell>
          <cell r="ET37">
            <v>328.83157894736843</v>
          </cell>
          <cell r="EU37">
            <v>4420.7224413590684</v>
          </cell>
          <cell r="EV37" t="str">
            <v>No Variation Applied</v>
          </cell>
          <cell r="EW37">
            <v>114600</v>
          </cell>
          <cell r="EX37">
            <v>0</v>
          </cell>
          <cell r="EY37">
            <v>0</v>
          </cell>
          <cell r="EZ37">
            <v>280422.32609066629</v>
          </cell>
        </row>
        <row r="38">
          <cell r="C38" t="str">
            <v>Griffe Field Primary School</v>
          </cell>
          <cell r="D38">
            <v>2002</v>
          </cell>
          <cell r="F38" t="str">
            <v/>
          </cell>
          <cell r="G38">
            <v>0</v>
          </cell>
          <cell r="H38">
            <v>28170</v>
          </cell>
          <cell r="I38">
            <v>0</v>
          </cell>
          <cell r="J38">
            <v>0</v>
          </cell>
          <cell r="L38">
            <v>98494.468071539508</v>
          </cell>
          <cell r="M38">
            <v>28170</v>
          </cell>
          <cell r="N38">
            <v>29.652631578947368</v>
          </cell>
          <cell r="S38">
            <v>0</v>
          </cell>
          <cell r="T38">
            <v>0</v>
          </cell>
          <cell r="U38">
            <v>60</v>
          </cell>
          <cell r="Y38">
            <v>60</v>
          </cell>
          <cell r="Z38">
            <v>60</v>
          </cell>
          <cell r="AA38">
            <v>60</v>
          </cell>
          <cell r="AB38">
            <v>63</v>
          </cell>
          <cell r="AC38">
            <v>60</v>
          </cell>
          <cell r="AD38">
            <v>59</v>
          </cell>
          <cell r="AK38">
            <v>1090217.6716004466</v>
          </cell>
          <cell r="AL38">
            <v>422</v>
          </cell>
          <cell r="BS38">
            <v>580.26</v>
          </cell>
          <cell r="BT38">
            <v>0</v>
          </cell>
          <cell r="BU38">
            <v>116.05200000000001</v>
          </cell>
          <cell r="BV38">
            <v>0</v>
          </cell>
          <cell r="BW38">
            <v>0</v>
          </cell>
          <cell r="BX38">
            <v>10213.682199999996</v>
          </cell>
          <cell r="BY38">
            <v>0</v>
          </cell>
          <cell r="BZ38">
            <v>0</v>
          </cell>
          <cell r="CA38">
            <v>0</v>
          </cell>
          <cell r="CB38">
            <v>0</v>
          </cell>
          <cell r="CC38">
            <v>0</v>
          </cell>
          <cell r="CD38">
            <v>0</v>
          </cell>
          <cell r="CE38">
            <v>10909.994199999996</v>
          </cell>
          <cell r="CF38">
            <v>22680.611130037629</v>
          </cell>
          <cell r="CI38">
            <v>0</v>
          </cell>
          <cell r="CJ38">
            <v>0</v>
          </cell>
          <cell r="CK38">
            <v>8565.33</v>
          </cell>
          <cell r="CL38">
            <v>5353.1631000849638</v>
          </cell>
          <cell r="CM38">
            <v>36599.104230122597</v>
          </cell>
          <cell r="CQ38">
            <v>3808.6547972304647</v>
          </cell>
          <cell r="CR38">
            <v>2813.6</v>
          </cell>
          <cell r="CS38">
            <v>10508.433527865467</v>
          </cell>
          <cell r="CT38">
            <v>17130.688325095933</v>
          </cell>
          <cell r="CU38">
            <v>38291.294075514917</v>
          </cell>
          <cell r="CV38">
            <v>27029.148759187003</v>
          </cell>
          <cell r="CW38">
            <v>65320.44283470192</v>
          </cell>
          <cell r="CX38">
            <v>0</v>
          </cell>
          <cell r="CZ38">
            <v>0</v>
          </cell>
          <cell r="DC38">
            <v>0</v>
          </cell>
          <cell r="DD38">
            <v>45553.959120257423</v>
          </cell>
          <cell r="DE38">
            <v>4320.2471942865468</v>
          </cell>
          <cell r="DF38">
            <v>4280.5871237630872</v>
          </cell>
          <cell r="DG38">
            <v>0</v>
          </cell>
          <cell r="DH38">
            <v>0</v>
          </cell>
          <cell r="DI38">
            <v>54154.793438307053</v>
          </cell>
          <cell r="DJ38">
            <v>0</v>
          </cell>
          <cell r="DK38">
            <v>42365</v>
          </cell>
          <cell r="DL38">
            <v>2906.08</v>
          </cell>
          <cell r="DM38">
            <v>70073.495851086889</v>
          </cell>
          <cell r="DN38">
            <v>0</v>
          </cell>
          <cell r="DO38">
            <v>0</v>
          </cell>
          <cell r="DP38">
            <v>0</v>
          </cell>
          <cell r="DQ38">
            <v>115344.57585108689</v>
          </cell>
          <cell r="DR38">
            <v>0</v>
          </cell>
          <cell r="DS38">
            <v>0</v>
          </cell>
          <cell r="DT38">
            <v>0</v>
          </cell>
          <cell r="DU38">
            <v>0</v>
          </cell>
          <cell r="DV38">
            <v>0</v>
          </cell>
          <cell r="DW38">
            <v>0</v>
          </cell>
          <cell r="DX38">
            <v>0</v>
          </cell>
          <cell r="DY38">
            <v>2614.2715539208416</v>
          </cell>
          <cell r="DZ38">
            <v>0</v>
          </cell>
          <cell r="EA38">
            <v>0</v>
          </cell>
          <cell r="EB38">
            <v>2614.2715539208416</v>
          </cell>
          <cell r="EE38">
            <v>0</v>
          </cell>
          <cell r="EH38">
            <v>0</v>
          </cell>
          <cell r="EI38">
            <v>0</v>
          </cell>
          <cell r="EK38">
            <v>0</v>
          </cell>
          <cell r="EL38">
            <v>8885</v>
          </cell>
          <cell r="EM38">
            <v>0</v>
          </cell>
          <cell r="EO38">
            <v>8885</v>
          </cell>
          <cell r="EP38">
            <v>0</v>
          </cell>
          <cell r="EQ38">
            <v>109404.46227153951</v>
          </cell>
          <cell r="ER38">
            <v>1499671.0101052213</v>
          </cell>
          <cell r="ET38">
            <v>451.65263157894736</v>
          </cell>
          <cell r="EU38">
            <v>3320.4079977625101</v>
          </cell>
          <cell r="EV38" t="str">
            <v>No Variation Applied</v>
          </cell>
          <cell r="EW38">
            <v>25800</v>
          </cell>
          <cell r="EX38">
            <v>0</v>
          </cell>
          <cell r="EY38">
            <v>0</v>
          </cell>
          <cell r="EZ38">
            <v>142207.8980137347</v>
          </cell>
        </row>
        <row r="39">
          <cell r="C39" t="str">
            <v>Parkview Primary School</v>
          </cell>
          <cell r="D39">
            <v>2003</v>
          </cell>
          <cell r="F39" t="str">
            <v/>
          </cell>
          <cell r="G39">
            <v>0</v>
          </cell>
          <cell r="H39">
            <v>29640</v>
          </cell>
          <cell r="I39">
            <v>0</v>
          </cell>
          <cell r="J39">
            <v>0</v>
          </cell>
          <cell r="L39">
            <v>103634.22199646542</v>
          </cell>
          <cell r="M39">
            <v>29640</v>
          </cell>
          <cell r="N39">
            <v>31.2</v>
          </cell>
          <cell r="S39">
            <v>0</v>
          </cell>
          <cell r="T39">
            <v>0</v>
          </cell>
          <cell r="U39">
            <v>30</v>
          </cell>
          <cell r="Y39">
            <v>30</v>
          </cell>
          <cell r="Z39">
            <v>30</v>
          </cell>
          <cell r="AA39">
            <v>31</v>
          </cell>
          <cell r="AB39">
            <v>30</v>
          </cell>
          <cell r="AC39">
            <v>33</v>
          </cell>
          <cell r="AD39">
            <v>30</v>
          </cell>
          <cell r="AK39">
            <v>552816.7451866474</v>
          </cell>
          <cell r="AL39">
            <v>214</v>
          </cell>
          <cell r="BS39">
            <v>348.15600000000001</v>
          </cell>
          <cell r="BT39">
            <v>0</v>
          </cell>
          <cell r="BU39">
            <v>232.10400000000001</v>
          </cell>
          <cell r="BV39">
            <v>0</v>
          </cell>
          <cell r="BW39">
            <v>0</v>
          </cell>
          <cell r="BX39">
            <v>-7194.4679999999935</v>
          </cell>
          <cell r="BY39">
            <v>0</v>
          </cell>
          <cell r="BZ39">
            <v>0</v>
          </cell>
          <cell r="CA39">
            <v>0</v>
          </cell>
          <cell r="CB39">
            <v>0</v>
          </cell>
          <cell r="CC39">
            <v>0</v>
          </cell>
          <cell r="CD39">
            <v>0</v>
          </cell>
          <cell r="CE39">
            <v>-6614.2079999999933</v>
          </cell>
          <cell r="CF39">
            <v>11340.305565018814</v>
          </cell>
          <cell r="CI39">
            <v>0</v>
          </cell>
          <cell r="CJ39">
            <v>0</v>
          </cell>
          <cell r="CK39">
            <v>4343.5600000000004</v>
          </cell>
          <cell r="CL39">
            <v>1337.9701495360898</v>
          </cell>
          <cell r="CM39">
            <v>17021.835714554905</v>
          </cell>
          <cell r="CQ39">
            <v>1523.4619188921858</v>
          </cell>
          <cell r="CR39">
            <v>803.89</v>
          </cell>
          <cell r="CS39">
            <v>606.25578045377688</v>
          </cell>
          <cell r="CT39">
            <v>2933.6076993459628</v>
          </cell>
          <cell r="CU39">
            <v>8133.7716173479403</v>
          </cell>
          <cell r="CV39">
            <v>0</v>
          </cell>
          <cell r="CW39">
            <v>8133.7716173479403</v>
          </cell>
          <cell r="CX39">
            <v>0</v>
          </cell>
          <cell r="CZ39">
            <v>0</v>
          </cell>
          <cell r="DC39">
            <v>0</v>
          </cell>
          <cell r="DD39">
            <v>13818.083423658531</v>
          </cell>
          <cell r="DE39">
            <v>1591.6700189476753</v>
          </cell>
          <cell r="DF39">
            <v>856.11742475261747</v>
          </cell>
          <cell r="DG39">
            <v>0</v>
          </cell>
          <cell r="DH39">
            <v>0</v>
          </cell>
          <cell r="DI39">
            <v>16265.870867358824</v>
          </cell>
          <cell r="DJ39">
            <v>0</v>
          </cell>
          <cell r="DK39">
            <v>26335</v>
          </cell>
          <cell r="DL39">
            <v>1927.14</v>
          </cell>
          <cell r="DM39">
            <v>70073.495851086889</v>
          </cell>
          <cell r="DN39">
            <v>0</v>
          </cell>
          <cell r="DO39">
            <v>0</v>
          </cell>
          <cell r="DP39">
            <v>0</v>
          </cell>
          <cell r="DQ39">
            <v>98335.635851086889</v>
          </cell>
          <cell r="DR39">
            <v>0</v>
          </cell>
          <cell r="DS39">
            <v>0</v>
          </cell>
          <cell r="DT39">
            <v>0</v>
          </cell>
          <cell r="DU39">
            <v>0</v>
          </cell>
          <cell r="DV39">
            <v>0</v>
          </cell>
          <cell r="DW39">
            <v>0</v>
          </cell>
          <cell r="DX39">
            <v>0</v>
          </cell>
          <cell r="DY39">
            <v>1633.9197212005261</v>
          </cell>
          <cell r="DZ39">
            <v>0</v>
          </cell>
          <cell r="EA39">
            <v>0</v>
          </cell>
          <cell r="EB39">
            <v>1633.9197212005261</v>
          </cell>
          <cell r="EE39">
            <v>0</v>
          </cell>
          <cell r="EH39">
            <v>0</v>
          </cell>
          <cell r="EI39">
            <v>0</v>
          </cell>
          <cell r="EK39">
            <v>0</v>
          </cell>
          <cell r="EL39">
            <v>7258</v>
          </cell>
          <cell r="EM39">
            <v>0</v>
          </cell>
          <cell r="EO39">
            <v>7258</v>
          </cell>
          <cell r="EP39">
            <v>4006.0548974060221</v>
          </cell>
          <cell r="EQ39">
            <v>97020.013996465423</v>
          </cell>
          <cell r="ER39">
            <v>805425.45555141394</v>
          </cell>
          <cell r="ET39">
            <v>245.2</v>
          </cell>
          <cell r="EU39">
            <v>3284.7693945816231</v>
          </cell>
          <cell r="EV39" t="str">
            <v>No Variation Applied</v>
          </cell>
          <cell r="EW39">
            <v>9000</v>
          </cell>
          <cell r="EX39">
            <v>0</v>
          </cell>
          <cell r="EY39">
            <v>0</v>
          </cell>
          <cell r="EZ39">
            <v>35977.345131790782</v>
          </cell>
        </row>
        <row r="40">
          <cell r="C40" t="str">
            <v>Beaufort Community Primary School</v>
          </cell>
          <cell r="D40">
            <v>2004</v>
          </cell>
          <cell r="F40" t="str">
            <v/>
          </cell>
          <cell r="G40">
            <v>0</v>
          </cell>
          <cell r="H40">
            <v>34620</v>
          </cell>
          <cell r="I40">
            <v>0</v>
          </cell>
          <cell r="J40">
            <v>0</v>
          </cell>
          <cell r="L40">
            <v>121046.44957886751</v>
          </cell>
          <cell r="M40">
            <v>34620</v>
          </cell>
          <cell r="N40">
            <v>36.442105263157892</v>
          </cell>
          <cell r="S40">
            <v>0</v>
          </cell>
          <cell r="T40">
            <v>0</v>
          </cell>
          <cell r="U40">
            <v>44</v>
          </cell>
          <cell r="Y40">
            <v>41</v>
          </cell>
          <cell r="Z40">
            <v>31</v>
          </cell>
          <cell r="AA40">
            <v>30</v>
          </cell>
          <cell r="AB40">
            <v>32</v>
          </cell>
          <cell r="AC40">
            <v>32</v>
          </cell>
          <cell r="AD40">
            <v>29</v>
          </cell>
          <cell r="AK40">
            <v>620346.31013088557</v>
          </cell>
          <cell r="AL40">
            <v>239</v>
          </cell>
          <cell r="BS40">
            <v>17175.696</v>
          </cell>
          <cell r="BT40">
            <v>0</v>
          </cell>
          <cell r="BU40">
            <v>116.05200000000001</v>
          </cell>
          <cell r="BV40">
            <v>0</v>
          </cell>
          <cell r="BW40">
            <v>0</v>
          </cell>
          <cell r="BX40">
            <v>2150.1065999999992</v>
          </cell>
          <cell r="BY40">
            <v>0</v>
          </cell>
          <cell r="BZ40">
            <v>3011.5493999999999</v>
          </cell>
          <cell r="CA40">
            <v>0</v>
          </cell>
          <cell r="CB40">
            <v>0</v>
          </cell>
          <cell r="CC40">
            <v>0</v>
          </cell>
          <cell r="CD40">
            <v>0</v>
          </cell>
          <cell r="CE40">
            <v>22453.403999999999</v>
          </cell>
          <cell r="CF40">
            <v>22680.611130037629</v>
          </cell>
          <cell r="CI40">
            <v>0</v>
          </cell>
          <cell r="CJ40">
            <v>0</v>
          </cell>
          <cell r="CK40">
            <v>4850.9799999999996</v>
          </cell>
          <cell r="CL40">
            <v>1488.9847530423201</v>
          </cell>
          <cell r="CM40">
            <v>29020.57588307995</v>
          </cell>
          <cell r="CQ40">
            <v>8379.0405539070216</v>
          </cell>
          <cell r="CR40">
            <v>1406.8</v>
          </cell>
          <cell r="CS40">
            <v>2829.1936421176256</v>
          </cell>
          <cell r="CT40">
            <v>12615.034196024646</v>
          </cell>
          <cell r="CU40">
            <v>0</v>
          </cell>
          <cell r="CV40">
            <v>0</v>
          </cell>
          <cell r="CW40">
            <v>0</v>
          </cell>
          <cell r="CX40">
            <v>0</v>
          </cell>
          <cell r="CZ40">
            <v>0</v>
          </cell>
          <cell r="DC40">
            <v>0</v>
          </cell>
          <cell r="DD40">
            <v>176965.84960928748</v>
          </cell>
          <cell r="DE40">
            <v>136883.62162950006</v>
          </cell>
          <cell r="DF40">
            <v>17122.348495052349</v>
          </cell>
          <cell r="DG40">
            <v>0</v>
          </cell>
          <cell r="DH40">
            <v>0</v>
          </cell>
          <cell r="DI40">
            <v>330971.81973383989</v>
          </cell>
          <cell r="DJ40">
            <v>0</v>
          </cell>
          <cell r="DK40">
            <v>14427</v>
          </cell>
          <cell r="DL40">
            <v>17735.38</v>
          </cell>
          <cell r="DM40">
            <v>70073.495851086889</v>
          </cell>
          <cell r="DN40">
            <v>0</v>
          </cell>
          <cell r="DO40">
            <v>0</v>
          </cell>
          <cell r="DP40">
            <v>0</v>
          </cell>
          <cell r="DQ40">
            <v>102235.87585108689</v>
          </cell>
          <cell r="DR40">
            <v>0</v>
          </cell>
          <cell r="DS40">
            <v>0</v>
          </cell>
          <cell r="DT40">
            <v>0</v>
          </cell>
          <cell r="DU40">
            <v>0</v>
          </cell>
          <cell r="DV40">
            <v>0</v>
          </cell>
          <cell r="DW40">
            <v>0</v>
          </cell>
          <cell r="DX40">
            <v>0</v>
          </cell>
          <cell r="DY40">
            <v>7516.0307175224198</v>
          </cell>
          <cell r="DZ40">
            <v>0</v>
          </cell>
          <cell r="EA40">
            <v>0</v>
          </cell>
          <cell r="EB40">
            <v>7516.0307175224198</v>
          </cell>
          <cell r="EE40">
            <v>0</v>
          </cell>
          <cell r="EH40">
            <v>0</v>
          </cell>
          <cell r="EI40">
            <v>0</v>
          </cell>
          <cell r="EK40">
            <v>0</v>
          </cell>
          <cell r="EL40">
            <v>0</v>
          </cell>
          <cell r="EM40">
            <v>0</v>
          </cell>
          <cell r="EO40">
            <v>0</v>
          </cell>
          <cell r="EP40">
            <v>131618.87808295595</v>
          </cell>
          <cell r="EQ40">
            <v>143499.85357886751</v>
          </cell>
          <cell r="ER40">
            <v>1377824.3781742626</v>
          </cell>
          <cell r="ET40">
            <v>275.44210526315788</v>
          </cell>
          <cell r="EU40">
            <v>5002.228605745976</v>
          </cell>
          <cell r="EV40" t="str">
            <v>No Variation Applied</v>
          </cell>
          <cell r="EW40">
            <v>93000</v>
          </cell>
          <cell r="EX40">
            <v>0</v>
          </cell>
          <cell r="EY40">
            <v>0</v>
          </cell>
          <cell r="EZ40">
            <v>224542.26558511236</v>
          </cell>
        </row>
        <row r="41">
          <cell r="C41" t="str">
            <v>Ashgate Primary School</v>
          </cell>
          <cell r="D41">
            <v>2005</v>
          </cell>
          <cell r="F41" t="str">
            <v/>
          </cell>
          <cell r="G41">
            <v>0</v>
          </cell>
          <cell r="H41">
            <v>0</v>
          </cell>
          <cell r="I41">
            <v>0</v>
          </cell>
          <cell r="J41">
            <v>0</v>
          </cell>
          <cell r="L41">
            <v>0</v>
          </cell>
          <cell r="M41">
            <v>0</v>
          </cell>
          <cell r="N41">
            <v>0</v>
          </cell>
          <cell r="S41">
            <v>0</v>
          </cell>
          <cell r="T41">
            <v>0</v>
          </cell>
          <cell r="U41">
            <v>44</v>
          </cell>
          <cell r="Y41">
            <v>41</v>
          </cell>
          <cell r="Z41">
            <v>42</v>
          </cell>
          <cell r="AA41">
            <v>39</v>
          </cell>
          <cell r="AB41">
            <v>40</v>
          </cell>
          <cell r="AC41">
            <v>38</v>
          </cell>
          <cell r="AD41">
            <v>27</v>
          </cell>
          <cell r="AK41">
            <v>701255.30030860484</v>
          </cell>
          <cell r="AL41">
            <v>271</v>
          </cell>
          <cell r="BS41">
            <v>0</v>
          </cell>
          <cell r="BT41">
            <v>0</v>
          </cell>
          <cell r="BU41">
            <v>0</v>
          </cell>
          <cell r="BV41">
            <v>0</v>
          </cell>
          <cell r="BW41">
            <v>0</v>
          </cell>
          <cell r="BX41">
            <v>0</v>
          </cell>
          <cell r="BY41">
            <v>0</v>
          </cell>
          <cell r="BZ41">
            <v>0</v>
          </cell>
          <cell r="CA41">
            <v>0</v>
          </cell>
          <cell r="CB41">
            <v>0</v>
          </cell>
          <cell r="CC41">
            <v>0</v>
          </cell>
          <cell r="CD41">
            <v>0</v>
          </cell>
          <cell r="CE41">
            <v>0</v>
          </cell>
          <cell r="CF41">
            <v>22680.611130037629</v>
          </cell>
          <cell r="CI41">
            <v>0</v>
          </cell>
          <cell r="CJ41">
            <v>0</v>
          </cell>
          <cell r="CK41">
            <v>5500.49</v>
          </cell>
          <cell r="CL41">
            <v>2245.0196470289243</v>
          </cell>
          <cell r="CM41">
            <v>30426.12077706655</v>
          </cell>
          <cell r="CQ41">
            <v>9140.7715133531146</v>
          </cell>
          <cell r="CR41">
            <v>8038.86</v>
          </cell>
          <cell r="CS41">
            <v>5658.3872842352512</v>
          </cell>
          <cell r="CT41">
            <v>22838.018797588364</v>
          </cell>
          <cell r="CU41">
            <v>0</v>
          </cell>
          <cell r="CV41">
            <v>0</v>
          </cell>
          <cell r="CW41">
            <v>0</v>
          </cell>
          <cell r="CX41">
            <v>0</v>
          </cell>
          <cell r="CZ41">
            <v>0</v>
          </cell>
          <cell r="DC41">
            <v>0</v>
          </cell>
          <cell r="DD41">
            <v>150671.6737881742</v>
          </cell>
          <cell r="DE41">
            <v>95500.201136860516</v>
          </cell>
          <cell r="DF41">
            <v>6848.9393980209397</v>
          </cell>
          <cell r="DG41">
            <v>0</v>
          </cell>
          <cell r="DH41">
            <v>0</v>
          </cell>
          <cell r="DI41">
            <v>253020.81432305565</v>
          </cell>
          <cell r="DJ41">
            <v>0</v>
          </cell>
          <cell r="DK41">
            <v>14427</v>
          </cell>
          <cell r="DL41">
            <v>8293.5400000000009</v>
          </cell>
          <cell r="DM41">
            <v>70073.495851086889</v>
          </cell>
          <cell r="DN41">
            <v>0</v>
          </cell>
          <cell r="DO41">
            <v>0</v>
          </cell>
          <cell r="DP41">
            <v>0</v>
          </cell>
          <cell r="DQ41">
            <v>92794.035851086897</v>
          </cell>
          <cell r="DR41">
            <v>0</v>
          </cell>
          <cell r="DS41">
            <v>0</v>
          </cell>
          <cell r="DT41">
            <v>0</v>
          </cell>
          <cell r="DU41">
            <v>0</v>
          </cell>
          <cell r="DV41">
            <v>0</v>
          </cell>
          <cell r="DW41">
            <v>0</v>
          </cell>
          <cell r="DX41">
            <v>0</v>
          </cell>
          <cell r="DY41">
            <v>6208.8949405619987</v>
          </cell>
          <cell r="DZ41">
            <v>0</v>
          </cell>
          <cell r="EA41">
            <v>0</v>
          </cell>
          <cell r="EB41">
            <v>6208.8949405619987</v>
          </cell>
          <cell r="EE41">
            <v>0</v>
          </cell>
          <cell r="EH41">
            <v>0</v>
          </cell>
          <cell r="EI41">
            <v>0</v>
          </cell>
          <cell r="EK41">
            <v>0</v>
          </cell>
          <cell r="EL41">
            <v>0</v>
          </cell>
          <cell r="EM41">
            <v>0</v>
          </cell>
          <cell r="EO41">
            <v>0</v>
          </cell>
          <cell r="EP41">
            <v>0</v>
          </cell>
          <cell r="EQ41">
            <v>0</v>
          </cell>
          <cell r="ER41">
            <v>1106543.1849979644</v>
          </cell>
          <cell r="ET41">
            <v>271</v>
          </cell>
          <cell r="EU41">
            <v>4083.1851844943335</v>
          </cell>
          <cell r="EV41" t="str">
            <v>No Variation Applied</v>
          </cell>
          <cell r="EW41">
            <v>85800</v>
          </cell>
          <cell r="EX41">
            <v>0</v>
          </cell>
          <cell r="EY41">
            <v>0</v>
          </cell>
          <cell r="EZ41">
            <v>192275.93961221055</v>
          </cell>
        </row>
        <row r="42">
          <cell r="C42" t="str">
            <v>Homefields Primary School</v>
          </cell>
          <cell r="D42">
            <v>2006</v>
          </cell>
          <cell r="F42" t="str">
            <v/>
          </cell>
          <cell r="G42">
            <v>0</v>
          </cell>
          <cell r="H42">
            <v>27144</v>
          </cell>
          <cell r="I42">
            <v>0</v>
          </cell>
          <cell r="J42">
            <v>0</v>
          </cell>
          <cell r="L42">
            <v>94907.129617815706</v>
          </cell>
          <cell r="M42">
            <v>27144</v>
          </cell>
          <cell r="N42">
            <v>28.572631578947369</v>
          </cell>
          <cell r="S42">
            <v>0</v>
          </cell>
          <cell r="T42">
            <v>0</v>
          </cell>
          <cell r="U42">
            <v>31</v>
          </cell>
          <cell r="Y42">
            <v>30</v>
          </cell>
          <cell r="Z42">
            <v>30</v>
          </cell>
          <cell r="AA42">
            <v>32</v>
          </cell>
          <cell r="AB42">
            <v>32</v>
          </cell>
          <cell r="AC42">
            <v>33</v>
          </cell>
          <cell r="AD42">
            <v>32</v>
          </cell>
          <cell r="AK42">
            <v>568570.04040945694</v>
          </cell>
          <cell r="AL42">
            <v>220</v>
          </cell>
          <cell r="BS42">
            <v>580.26</v>
          </cell>
          <cell r="BT42">
            <v>0</v>
          </cell>
          <cell r="BU42">
            <v>0</v>
          </cell>
          <cell r="BV42">
            <v>0</v>
          </cell>
          <cell r="BW42">
            <v>0</v>
          </cell>
          <cell r="BX42">
            <v>2490.4785858862451</v>
          </cell>
          <cell r="BY42">
            <v>0</v>
          </cell>
          <cell r="BZ42">
            <v>0</v>
          </cell>
          <cell r="CA42">
            <v>0</v>
          </cell>
          <cell r="CB42">
            <v>0</v>
          </cell>
          <cell r="CC42">
            <v>0</v>
          </cell>
          <cell r="CD42">
            <v>0</v>
          </cell>
          <cell r="CE42">
            <v>3070.7385858862453</v>
          </cell>
          <cell r="CF42">
            <v>11340.305565018814</v>
          </cell>
          <cell r="CI42">
            <v>0</v>
          </cell>
          <cell r="CJ42">
            <v>0</v>
          </cell>
          <cell r="CK42">
            <v>4465.34</v>
          </cell>
          <cell r="CL42">
            <v>3608.9604608622635</v>
          </cell>
          <cell r="CM42">
            <v>19414.606025881079</v>
          </cell>
          <cell r="CQ42">
            <v>4570.3857566765573</v>
          </cell>
          <cell r="CR42">
            <v>3416.51</v>
          </cell>
          <cell r="CS42">
            <v>1010.4263007562949</v>
          </cell>
          <cell r="CT42">
            <v>8997.3220574328516</v>
          </cell>
          <cell r="CU42">
            <v>8634.3114091847365</v>
          </cell>
          <cell r="CV42">
            <v>0</v>
          </cell>
          <cell r="CW42">
            <v>8634.3114091847365</v>
          </cell>
          <cell r="CX42">
            <v>0</v>
          </cell>
          <cell r="CZ42">
            <v>0</v>
          </cell>
          <cell r="DC42">
            <v>0</v>
          </cell>
          <cell r="DD42">
            <v>17003.468716625706</v>
          </cell>
          <cell r="DE42">
            <v>8867.8758198513333</v>
          </cell>
          <cell r="DF42">
            <v>4280.5871237630872</v>
          </cell>
          <cell r="DG42">
            <v>0</v>
          </cell>
          <cell r="DH42">
            <v>0</v>
          </cell>
          <cell r="DI42">
            <v>30151.931660240123</v>
          </cell>
          <cell r="DJ42">
            <v>0</v>
          </cell>
          <cell r="DK42">
            <v>26793</v>
          </cell>
          <cell r="DL42">
            <v>1819.74</v>
          </cell>
          <cell r="DM42">
            <v>70073.495851086889</v>
          </cell>
          <cell r="DN42">
            <v>0</v>
          </cell>
          <cell r="DO42">
            <v>0</v>
          </cell>
          <cell r="DP42">
            <v>0</v>
          </cell>
          <cell r="DQ42">
            <v>98686.235851086894</v>
          </cell>
          <cell r="DR42">
            <v>0</v>
          </cell>
          <cell r="DS42">
            <v>0</v>
          </cell>
          <cell r="DT42">
            <v>0</v>
          </cell>
          <cell r="DU42">
            <v>0</v>
          </cell>
          <cell r="DV42">
            <v>0</v>
          </cell>
          <cell r="DW42">
            <v>0</v>
          </cell>
          <cell r="DX42">
            <v>0</v>
          </cell>
          <cell r="DY42">
            <v>2941.0554981609466</v>
          </cell>
          <cell r="DZ42">
            <v>0</v>
          </cell>
          <cell r="EA42">
            <v>0</v>
          </cell>
          <cell r="EB42">
            <v>2941.0554981609466</v>
          </cell>
          <cell r="EE42">
            <v>0</v>
          </cell>
          <cell r="EH42">
            <v>0</v>
          </cell>
          <cell r="EI42">
            <v>0</v>
          </cell>
          <cell r="EK42">
            <v>0</v>
          </cell>
          <cell r="EL42">
            <v>0</v>
          </cell>
          <cell r="EM42">
            <v>0</v>
          </cell>
          <cell r="EO42">
            <v>0</v>
          </cell>
          <cell r="EP42">
            <v>37617.409550808487</v>
          </cell>
          <cell r="EQ42">
            <v>97977.868203701946</v>
          </cell>
          <cell r="ER42">
            <v>872990.78066595411</v>
          </cell>
          <cell r="ET42">
            <v>248.57263157894738</v>
          </cell>
          <cell r="EU42">
            <v>3512.0148791951369</v>
          </cell>
          <cell r="EV42" t="str">
            <v>No Variation Applied</v>
          </cell>
          <cell r="EW42">
            <v>10600</v>
          </cell>
          <cell r="EX42">
            <v>0</v>
          </cell>
          <cell r="EY42">
            <v>0</v>
          </cell>
          <cell r="EZ42">
            <v>50073.978998367005</v>
          </cell>
        </row>
        <row r="43">
          <cell r="C43" t="str">
            <v>Allenton Community Primary School</v>
          </cell>
          <cell r="D43">
            <v>2400</v>
          </cell>
          <cell r="F43" t="str">
            <v/>
          </cell>
          <cell r="G43">
            <v>0</v>
          </cell>
          <cell r="H43">
            <v>0</v>
          </cell>
          <cell r="I43">
            <v>0</v>
          </cell>
          <cell r="J43">
            <v>0</v>
          </cell>
          <cell r="L43">
            <v>0</v>
          </cell>
          <cell r="M43">
            <v>0</v>
          </cell>
          <cell r="N43">
            <v>0</v>
          </cell>
          <cell r="S43">
            <v>0</v>
          </cell>
          <cell r="T43">
            <v>0</v>
          </cell>
          <cell r="U43">
            <v>50</v>
          </cell>
          <cell r="Y43">
            <v>40</v>
          </cell>
          <cell r="Z43">
            <v>35</v>
          </cell>
          <cell r="AA43">
            <v>44</v>
          </cell>
          <cell r="AB43">
            <v>31</v>
          </cell>
          <cell r="AC43">
            <v>32</v>
          </cell>
          <cell r="AD43">
            <v>25</v>
          </cell>
          <cell r="AK43">
            <v>668261.70425534295</v>
          </cell>
          <cell r="AL43">
            <v>257</v>
          </cell>
          <cell r="BS43">
            <v>0</v>
          </cell>
          <cell r="BT43">
            <v>0</v>
          </cell>
          <cell r="BU43">
            <v>0</v>
          </cell>
          <cell r="BV43">
            <v>0</v>
          </cell>
          <cell r="BW43">
            <v>0</v>
          </cell>
          <cell r="BX43">
            <v>0</v>
          </cell>
          <cell r="BY43">
            <v>0</v>
          </cell>
          <cell r="BZ43">
            <v>0</v>
          </cell>
          <cell r="CA43">
            <v>0</v>
          </cell>
          <cell r="CB43">
            <v>0</v>
          </cell>
          <cell r="CC43">
            <v>0</v>
          </cell>
          <cell r="CD43">
            <v>0</v>
          </cell>
          <cell r="CE43">
            <v>0</v>
          </cell>
          <cell r="CF43">
            <v>22680.611130037629</v>
          </cell>
          <cell r="CI43">
            <v>0</v>
          </cell>
          <cell r="CJ43">
            <v>0</v>
          </cell>
          <cell r="CK43">
            <v>5216.33</v>
          </cell>
          <cell r="CL43">
            <v>1932.7304244916245</v>
          </cell>
          <cell r="CM43">
            <v>29829.671554529254</v>
          </cell>
          <cell r="CQ43">
            <v>9140.7715133531146</v>
          </cell>
          <cell r="CR43">
            <v>9043.7099999999991</v>
          </cell>
          <cell r="CS43">
            <v>5052.1315037814747</v>
          </cell>
          <cell r="CT43">
            <v>23236.61301713459</v>
          </cell>
          <cell r="CU43">
            <v>0</v>
          </cell>
          <cell r="CV43">
            <v>0</v>
          </cell>
          <cell r="CW43">
            <v>0</v>
          </cell>
          <cell r="CX43">
            <v>0</v>
          </cell>
          <cell r="CZ43">
            <v>0</v>
          </cell>
          <cell r="DC43">
            <v>0</v>
          </cell>
          <cell r="DD43">
            <v>212432.75530181554</v>
          </cell>
          <cell r="DE43">
            <v>169853.92916484477</v>
          </cell>
          <cell r="DF43">
            <v>11985.643946536644</v>
          </cell>
          <cell r="DG43">
            <v>0</v>
          </cell>
          <cell r="DH43">
            <v>0</v>
          </cell>
          <cell r="DI43">
            <v>394272.32841319696</v>
          </cell>
          <cell r="DJ43">
            <v>0</v>
          </cell>
          <cell r="DK43">
            <v>27251</v>
          </cell>
          <cell r="DL43">
            <v>4765.08</v>
          </cell>
          <cell r="DM43">
            <v>70073.495851086889</v>
          </cell>
          <cell r="DN43">
            <v>0</v>
          </cell>
          <cell r="DO43">
            <v>0</v>
          </cell>
          <cell r="DP43">
            <v>0</v>
          </cell>
          <cell r="DQ43">
            <v>102089.57585108689</v>
          </cell>
          <cell r="DR43">
            <v>0</v>
          </cell>
          <cell r="DS43">
            <v>0</v>
          </cell>
          <cell r="DT43">
            <v>0</v>
          </cell>
          <cell r="DU43">
            <v>0</v>
          </cell>
          <cell r="DV43">
            <v>0</v>
          </cell>
          <cell r="DW43">
            <v>0</v>
          </cell>
          <cell r="DX43">
            <v>0</v>
          </cell>
          <cell r="DY43">
            <v>5555.3270520817887</v>
          </cell>
          <cell r="DZ43">
            <v>0</v>
          </cell>
          <cell r="EA43">
            <v>0</v>
          </cell>
          <cell r="EB43">
            <v>5555.3270520817887</v>
          </cell>
          <cell r="EE43">
            <v>0</v>
          </cell>
          <cell r="EH43">
            <v>0</v>
          </cell>
          <cell r="EI43">
            <v>0</v>
          </cell>
          <cell r="EK43">
            <v>0</v>
          </cell>
          <cell r="EL43">
            <v>0</v>
          </cell>
          <cell r="EM43">
            <v>0</v>
          </cell>
          <cell r="EO43">
            <v>0</v>
          </cell>
          <cell r="EP43">
            <v>0</v>
          </cell>
          <cell r="EQ43">
            <v>0</v>
          </cell>
          <cell r="ER43">
            <v>1223245.2201433724</v>
          </cell>
          <cell r="ET43">
            <v>257</v>
          </cell>
          <cell r="EU43">
            <v>4759.7090277952238</v>
          </cell>
          <cell r="EV43" t="str">
            <v>No Variation Applied</v>
          </cell>
          <cell r="EW43">
            <v>102000</v>
          </cell>
          <cell r="EX43">
            <v>0</v>
          </cell>
          <cell r="EY43">
            <v>0</v>
          </cell>
          <cell r="EZ43">
            <v>258937.79302718112</v>
          </cell>
        </row>
        <row r="44">
          <cell r="C44" t="str">
            <v>Becket Primary School</v>
          </cell>
          <cell r="D44">
            <v>2405</v>
          </cell>
          <cell r="F44" t="str">
            <v/>
          </cell>
          <cell r="G44">
            <v>0</v>
          </cell>
          <cell r="H44">
            <v>23310</v>
          </cell>
          <cell r="I44">
            <v>0</v>
          </cell>
          <cell r="J44">
            <v>0</v>
          </cell>
          <cell r="L44">
            <v>81501.812238110972</v>
          </cell>
          <cell r="M44">
            <v>23310</v>
          </cell>
          <cell r="N44">
            <v>24.536842105263158</v>
          </cell>
          <cell r="S44">
            <v>0</v>
          </cell>
          <cell r="T44">
            <v>0</v>
          </cell>
          <cell r="U44">
            <v>30</v>
          </cell>
          <cell r="Y44">
            <v>29</v>
          </cell>
          <cell r="Z44">
            <v>28</v>
          </cell>
          <cell r="AA44">
            <v>29</v>
          </cell>
          <cell r="AB44">
            <v>22</v>
          </cell>
          <cell r="AC44">
            <v>24</v>
          </cell>
          <cell r="AD44">
            <v>21</v>
          </cell>
          <cell r="AK44">
            <v>473525.26908745419</v>
          </cell>
          <cell r="AL44">
            <v>183</v>
          </cell>
          <cell r="BS44">
            <v>10560.732</v>
          </cell>
          <cell r="BT44">
            <v>0</v>
          </cell>
          <cell r="BU44">
            <v>1856.8320000000001</v>
          </cell>
          <cell r="BV44">
            <v>0</v>
          </cell>
          <cell r="BW44">
            <v>0</v>
          </cell>
          <cell r="BX44">
            <v>-12455.373399999997</v>
          </cell>
          <cell r="BY44">
            <v>0</v>
          </cell>
          <cell r="BZ44">
            <v>3011.5493999999999</v>
          </cell>
          <cell r="CA44">
            <v>0</v>
          </cell>
          <cell r="CB44">
            <v>0</v>
          </cell>
          <cell r="CC44">
            <v>0</v>
          </cell>
          <cell r="CD44">
            <v>0</v>
          </cell>
          <cell r="CE44">
            <v>2973.7400000000034</v>
          </cell>
          <cell r="CF44">
            <v>11340.305565018814</v>
          </cell>
          <cell r="CI44">
            <v>0</v>
          </cell>
          <cell r="CJ44">
            <v>0</v>
          </cell>
          <cell r="CK44">
            <v>3714.35</v>
          </cell>
          <cell r="CL44">
            <v>1508.222282151394</v>
          </cell>
          <cell r="CM44">
            <v>16562.87784717021</v>
          </cell>
          <cell r="CQ44">
            <v>10664.233432245301</v>
          </cell>
          <cell r="CR44">
            <v>6833.03</v>
          </cell>
          <cell r="CS44">
            <v>5456.3020240839924</v>
          </cell>
          <cell r="CT44">
            <v>22953.565456329292</v>
          </cell>
          <cell r="CU44">
            <v>22524.290632655837</v>
          </cell>
          <cell r="CV44">
            <v>0</v>
          </cell>
          <cell r="CW44">
            <v>22524.290632655837</v>
          </cell>
          <cell r="CX44">
            <v>100923.30180935774</v>
          </cell>
          <cell r="CZ44">
            <v>100923.30180935774</v>
          </cell>
          <cell r="DC44">
            <v>0</v>
          </cell>
          <cell r="DD44">
            <v>124982.13128655929</v>
          </cell>
          <cell r="DE44">
            <v>85495.418160617977</v>
          </cell>
          <cell r="DF44">
            <v>14553.996220794497</v>
          </cell>
          <cell r="DG44">
            <v>0</v>
          </cell>
          <cell r="DH44">
            <v>0</v>
          </cell>
          <cell r="DI44">
            <v>225031.54566797178</v>
          </cell>
          <cell r="DJ44">
            <v>0</v>
          </cell>
          <cell r="DK44">
            <v>12595</v>
          </cell>
          <cell r="DL44">
            <v>4311.09</v>
          </cell>
          <cell r="DM44">
            <v>70073.495851086889</v>
          </cell>
          <cell r="DN44">
            <v>0</v>
          </cell>
          <cell r="DO44">
            <v>0</v>
          </cell>
          <cell r="DP44">
            <v>0</v>
          </cell>
          <cell r="DQ44">
            <v>86979.585851086886</v>
          </cell>
          <cell r="DR44">
            <v>0</v>
          </cell>
          <cell r="DS44">
            <v>0</v>
          </cell>
          <cell r="DT44">
            <v>0</v>
          </cell>
          <cell r="DU44">
            <v>0</v>
          </cell>
          <cell r="DV44">
            <v>0</v>
          </cell>
          <cell r="DW44">
            <v>0</v>
          </cell>
          <cell r="DX44">
            <v>0</v>
          </cell>
          <cell r="DY44">
            <v>7842.8146617625243</v>
          </cell>
          <cell r="DZ44">
            <v>0</v>
          </cell>
          <cell r="EA44">
            <v>0</v>
          </cell>
          <cell r="EB44">
            <v>7842.8146617625243</v>
          </cell>
          <cell r="EE44">
            <v>0</v>
          </cell>
          <cell r="EH44">
            <v>0</v>
          </cell>
          <cell r="EI44">
            <v>0</v>
          </cell>
          <cell r="EK44">
            <v>0</v>
          </cell>
          <cell r="EL44">
            <v>9260</v>
          </cell>
          <cell r="EM44">
            <v>0</v>
          </cell>
          <cell r="EO44">
            <v>9260</v>
          </cell>
          <cell r="EP44">
            <v>11367.63220066228</v>
          </cell>
          <cell r="EQ44">
            <v>84475.552238110977</v>
          </cell>
          <cell r="ER44">
            <v>1061446.4354525616</v>
          </cell>
          <cell r="ET44">
            <v>207.53684210526316</v>
          </cell>
          <cell r="EU44">
            <v>5114.4964175285731</v>
          </cell>
          <cell r="EV44" t="str">
            <v>No Variation Applied</v>
          </cell>
          <cell r="EW44">
            <v>63500</v>
          </cell>
          <cell r="EX44">
            <v>0</v>
          </cell>
          <cell r="EY44">
            <v>0</v>
          </cell>
          <cell r="EZ44">
            <v>300867.91521789314</v>
          </cell>
        </row>
        <row r="45">
          <cell r="C45" t="str">
            <v>Boulton Primary School</v>
          </cell>
          <cell r="D45">
            <v>2407</v>
          </cell>
          <cell r="E45" t="str">
            <v>Converter</v>
          </cell>
          <cell r="F45">
            <v>41153</v>
          </cell>
          <cell r="G45">
            <v>0</v>
          </cell>
          <cell r="H45">
            <v>22830</v>
          </cell>
          <cell r="I45">
            <v>0</v>
          </cell>
          <cell r="J45">
            <v>0</v>
          </cell>
          <cell r="L45">
            <v>79823.525242216798</v>
          </cell>
          <cell r="M45">
            <v>22830</v>
          </cell>
          <cell r="N45">
            <v>24.03157894736842</v>
          </cell>
          <cell r="S45">
            <v>0</v>
          </cell>
          <cell r="T45">
            <v>0</v>
          </cell>
          <cell r="U45">
            <v>37</v>
          </cell>
          <cell r="Y45">
            <v>51</v>
          </cell>
          <cell r="Z45">
            <v>32</v>
          </cell>
          <cell r="AA45">
            <v>39</v>
          </cell>
          <cell r="AB45">
            <v>29</v>
          </cell>
          <cell r="AC45">
            <v>31</v>
          </cell>
          <cell r="AD45">
            <v>25</v>
          </cell>
          <cell r="AK45">
            <v>629521.78068105795</v>
          </cell>
          <cell r="AL45">
            <v>244</v>
          </cell>
          <cell r="BS45">
            <v>13229.928</v>
          </cell>
          <cell r="BT45">
            <v>0</v>
          </cell>
          <cell r="BU45">
            <v>812.36400000000003</v>
          </cell>
          <cell r="BV45">
            <v>0</v>
          </cell>
          <cell r="BW45">
            <v>0</v>
          </cell>
          <cell r="BX45">
            <v>5100.8629999999976</v>
          </cell>
          <cell r="BY45">
            <v>0</v>
          </cell>
          <cell r="BZ45">
            <v>5019.2489999999998</v>
          </cell>
          <cell r="CA45">
            <v>0</v>
          </cell>
          <cell r="CB45">
            <v>0</v>
          </cell>
          <cell r="CC45">
            <v>0</v>
          </cell>
          <cell r="CD45">
            <v>0</v>
          </cell>
          <cell r="CE45">
            <v>24162.403999999999</v>
          </cell>
          <cell r="CF45">
            <v>22680.611130037629</v>
          </cell>
          <cell r="CI45">
            <v>0</v>
          </cell>
          <cell r="CJ45">
            <v>0</v>
          </cell>
          <cell r="CK45">
            <v>4952.47</v>
          </cell>
          <cell r="CL45">
            <v>927.2489030573621</v>
          </cell>
          <cell r="CM45">
            <v>28560.330033094993</v>
          </cell>
          <cell r="CQ45">
            <v>6855.5786350148364</v>
          </cell>
          <cell r="CR45">
            <v>6833.03</v>
          </cell>
          <cell r="CS45">
            <v>5658.3872842352512</v>
          </cell>
          <cell r="CT45">
            <v>19346.995919250086</v>
          </cell>
          <cell r="CU45">
            <v>11137.010368368719</v>
          </cell>
          <cell r="CV45">
            <v>9009.7162530623336</v>
          </cell>
          <cell r="CW45">
            <v>20146.726621431051</v>
          </cell>
          <cell r="CX45">
            <v>0</v>
          </cell>
          <cell r="CZ45">
            <v>0</v>
          </cell>
          <cell r="DC45">
            <v>0</v>
          </cell>
          <cell r="DD45">
            <v>159121.79310701767</v>
          </cell>
          <cell r="DE45">
            <v>131653.84871010057</v>
          </cell>
          <cell r="DF45">
            <v>23115.17046832067</v>
          </cell>
          <cell r="DG45">
            <v>0</v>
          </cell>
          <cell r="DH45">
            <v>0</v>
          </cell>
          <cell r="DI45">
            <v>313890.81228543894</v>
          </cell>
          <cell r="DJ45">
            <v>0</v>
          </cell>
          <cell r="DK45">
            <v>14240.29</v>
          </cell>
          <cell r="DL45">
            <v>9409.0300000000007</v>
          </cell>
          <cell r="DM45">
            <v>70073.495851086889</v>
          </cell>
          <cell r="DN45">
            <v>0</v>
          </cell>
          <cell r="DO45">
            <v>0</v>
          </cell>
          <cell r="DP45">
            <v>0</v>
          </cell>
          <cell r="DQ45">
            <v>93722.815851086896</v>
          </cell>
          <cell r="DR45">
            <v>0</v>
          </cell>
          <cell r="DS45">
            <v>0</v>
          </cell>
          <cell r="DT45">
            <v>0</v>
          </cell>
          <cell r="DU45">
            <v>0</v>
          </cell>
          <cell r="DV45">
            <v>0</v>
          </cell>
          <cell r="DW45">
            <v>0</v>
          </cell>
          <cell r="DX45">
            <v>0</v>
          </cell>
          <cell r="DY45">
            <v>12744.573825364103</v>
          </cell>
          <cell r="DZ45">
            <v>0</v>
          </cell>
          <cell r="EA45">
            <v>0</v>
          </cell>
          <cell r="EB45">
            <v>12744.573825364103</v>
          </cell>
          <cell r="EE45">
            <v>0</v>
          </cell>
          <cell r="EH45">
            <v>0</v>
          </cell>
          <cell r="EI45">
            <v>0</v>
          </cell>
          <cell r="EK45">
            <v>0</v>
          </cell>
          <cell r="EL45">
            <v>13264</v>
          </cell>
          <cell r="EM45">
            <v>0</v>
          </cell>
          <cell r="EO45">
            <v>13264</v>
          </cell>
          <cell r="EP45">
            <v>0</v>
          </cell>
          <cell r="EQ45">
            <v>103985.92924221679</v>
          </cell>
          <cell r="ER45">
            <v>1235183.9644589408</v>
          </cell>
          <cell r="ET45">
            <v>268.03157894736842</v>
          </cell>
          <cell r="EU45">
            <v>4608.3523788869879</v>
          </cell>
          <cell r="EV45" t="str">
            <v>No Variation Applied</v>
          </cell>
          <cell r="EW45">
            <v>82600</v>
          </cell>
          <cell r="EX45">
            <v>0</v>
          </cell>
          <cell r="EY45">
            <v>0</v>
          </cell>
          <cell r="EZ45">
            <v>244882.80002317223</v>
          </cell>
        </row>
        <row r="46">
          <cell r="C46" t="str">
            <v>Dale Community Primary School</v>
          </cell>
          <cell r="D46">
            <v>2409</v>
          </cell>
          <cell r="F46" t="str">
            <v/>
          </cell>
          <cell r="G46">
            <v>0</v>
          </cell>
          <cell r="H46">
            <v>0</v>
          </cell>
          <cell r="I46">
            <v>0</v>
          </cell>
          <cell r="J46">
            <v>0</v>
          </cell>
          <cell r="L46">
            <v>0</v>
          </cell>
          <cell r="M46">
            <v>0</v>
          </cell>
          <cell r="N46">
            <v>0</v>
          </cell>
          <cell r="S46">
            <v>0</v>
          </cell>
          <cell r="T46">
            <v>0</v>
          </cell>
          <cell r="U46">
            <v>81</v>
          </cell>
          <cell r="Y46">
            <v>75</v>
          </cell>
          <cell r="Z46">
            <v>77</v>
          </cell>
          <cell r="AA46">
            <v>82</v>
          </cell>
          <cell r="AB46">
            <v>81</v>
          </cell>
          <cell r="AC46">
            <v>81</v>
          </cell>
          <cell r="AD46">
            <v>78</v>
          </cell>
          <cell r="AK46">
            <v>1435214.8369799773</v>
          </cell>
          <cell r="AL46">
            <v>555</v>
          </cell>
          <cell r="BS46">
            <v>0</v>
          </cell>
          <cell r="BT46">
            <v>0</v>
          </cell>
          <cell r="BU46">
            <v>0</v>
          </cell>
          <cell r="BV46">
            <v>0</v>
          </cell>
          <cell r="BW46">
            <v>0</v>
          </cell>
          <cell r="BX46">
            <v>0</v>
          </cell>
          <cell r="BY46">
            <v>0</v>
          </cell>
          <cell r="BZ46">
            <v>0</v>
          </cell>
          <cell r="CA46">
            <v>0</v>
          </cell>
          <cell r="CB46">
            <v>0</v>
          </cell>
          <cell r="CC46">
            <v>0</v>
          </cell>
          <cell r="CD46">
            <v>0</v>
          </cell>
          <cell r="CE46">
            <v>0</v>
          </cell>
          <cell r="CF46">
            <v>34020.916695056439</v>
          </cell>
          <cell r="CI46">
            <v>0</v>
          </cell>
          <cell r="CJ46">
            <v>0</v>
          </cell>
          <cell r="CK46">
            <v>11264.83</v>
          </cell>
          <cell r="CL46">
            <v>5744.3261919694669</v>
          </cell>
          <cell r="CM46">
            <v>51030.072887025904</v>
          </cell>
          <cell r="CQ46">
            <v>23613.659742828881</v>
          </cell>
          <cell r="CR46">
            <v>81393.429999999993</v>
          </cell>
          <cell r="CS46">
            <v>91544.622848520317</v>
          </cell>
          <cell r="CT46">
            <v>196551.71259134921</v>
          </cell>
          <cell r="CU46">
            <v>16517.813130614279</v>
          </cell>
          <cell r="CV46">
            <v>0</v>
          </cell>
          <cell r="CW46">
            <v>16517.813130614279</v>
          </cell>
          <cell r="CX46">
            <v>0</v>
          </cell>
          <cell r="CZ46">
            <v>0</v>
          </cell>
          <cell r="DC46">
            <v>0</v>
          </cell>
          <cell r="DD46">
            <v>176951.10245515336</v>
          </cell>
          <cell r="DE46">
            <v>296960.14924938057</v>
          </cell>
          <cell r="DF46">
            <v>22259.053043568056</v>
          </cell>
          <cell r="DG46">
            <v>0</v>
          </cell>
          <cell r="DH46">
            <v>0</v>
          </cell>
          <cell r="DI46">
            <v>496170.30474810197</v>
          </cell>
          <cell r="DJ46">
            <v>0</v>
          </cell>
          <cell r="DK46">
            <v>30457</v>
          </cell>
          <cell r="DL46">
            <v>3805.41</v>
          </cell>
          <cell r="DM46">
            <v>70073.495851086889</v>
          </cell>
          <cell r="DN46">
            <v>0</v>
          </cell>
          <cell r="DO46">
            <v>0</v>
          </cell>
          <cell r="DP46">
            <v>0</v>
          </cell>
          <cell r="DQ46">
            <v>104335.90585108689</v>
          </cell>
          <cell r="DR46">
            <v>0</v>
          </cell>
          <cell r="DS46">
            <v>0</v>
          </cell>
          <cell r="DT46">
            <v>0</v>
          </cell>
          <cell r="DU46">
            <v>0</v>
          </cell>
          <cell r="DV46">
            <v>0</v>
          </cell>
          <cell r="DW46">
            <v>0</v>
          </cell>
          <cell r="DX46">
            <v>0</v>
          </cell>
          <cell r="DY46">
            <v>10457.086215683366</v>
          </cell>
          <cell r="DZ46">
            <v>0</v>
          </cell>
          <cell r="EA46">
            <v>0</v>
          </cell>
          <cell r="EB46">
            <v>10457.086215683366</v>
          </cell>
          <cell r="EE46">
            <v>0</v>
          </cell>
          <cell r="EH46">
            <v>0</v>
          </cell>
          <cell r="EI46">
            <v>7724.8324999999995</v>
          </cell>
          <cell r="EK46">
            <v>0</v>
          </cell>
          <cell r="EL46">
            <v>11388</v>
          </cell>
          <cell r="EM46">
            <v>0</v>
          </cell>
          <cell r="EO46">
            <v>19112.8325</v>
          </cell>
          <cell r="EP46">
            <v>0</v>
          </cell>
          <cell r="EQ46">
            <v>0</v>
          </cell>
          <cell r="ER46">
            <v>2329390.564903839</v>
          </cell>
          <cell r="ET46">
            <v>555</v>
          </cell>
          <cell r="EU46">
            <v>4197.1001169438541</v>
          </cell>
          <cell r="EV46" t="str">
            <v>No Variation Applied</v>
          </cell>
          <cell r="EW46">
            <v>99600</v>
          </cell>
          <cell r="EX46">
            <v>0</v>
          </cell>
          <cell r="EY46">
            <v>0</v>
          </cell>
          <cell r="EZ46">
            <v>354471.01537941862</v>
          </cell>
        </row>
        <row r="47">
          <cell r="C47" t="str">
            <v>Moorhead Primary School</v>
          </cell>
          <cell r="D47">
            <v>2418</v>
          </cell>
          <cell r="E47" t="str">
            <v>Converter</v>
          </cell>
          <cell r="F47">
            <v>41153</v>
          </cell>
          <cell r="G47">
            <v>0</v>
          </cell>
          <cell r="H47">
            <v>0</v>
          </cell>
          <cell r="I47">
            <v>0</v>
          </cell>
          <cell r="J47">
            <v>0</v>
          </cell>
          <cell r="L47">
            <v>0</v>
          </cell>
          <cell r="M47">
            <v>0</v>
          </cell>
          <cell r="N47">
            <v>0</v>
          </cell>
          <cell r="S47">
            <v>0</v>
          </cell>
          <cell r="T47">
            <v>0</v>
          </cell>
          <cell r="U47">
            <v>40</v>
          </cell>
          <cell r="Y47">
            <v>40</v>
          </cell>
          <cell r="Z47">
            <v>39</v>
          </cell>
          <cell r="AA47">
            <v>38</v>
          </cell>
          <cell r="AB47">
            <v>39</v>
          </cell>
          <cell r="AC47">
            <v>40</v>
          </cell>
          <cell r="AD47">
            <v>40</v>
          </cell>
          <cell r="AK47">
            <v>713227.80467794021</v>
          </cell>
          <cell r="AL47">
            <v>276</v>
          </cell>
          <cell r="BS47">
            <v>0</v>
          </cell>
          <cell r="BT47">
            <v>0</v>
          </cell>
          <cell r="BU47">
            <v>0</v>
          </cell>
          <cell r="BV47">
            <v>0</v>
          </cell>
          <cell r="BW47">
            <v>0</v>
          </cell>
          <cell r="BX47">
            <v>0</v>
          </cell>
          <cell r="BY47">
            <v>0</v>
          </cell>
          <cell r="BZ47">
            <v>0</v>
          </cell>
          <cell r="CA47">
            <v>0</v>
          </cell>
          <cell r="CB47">
            <v>0</v>
          </cell>
          <cell r="CC47">
            <v>0</v>
          </cell>
          <cell r="CD47">
            <v>0</v>
          </cell>
          <cell r="CE47">
            <v>0</v>
          </cell>
          <cell r="CF47">
            <v>22680.611130037629</v>
          </cell>
          <cell r="CI47">
            <v>0</v>
          </cell>
          <cell r="CJ47">
            <v>0</v>
          </cell>
          <cell r="CK47">
            <v>5601.97</v>
          </cell>
          <cell r="CL47">
            <v>2023.7880622745745</v>
          </cell>
          <cell r="CM47">
            <v>30306.369192312206</v>
          </cell>
          <cell r="CQ47">
            <v>7617.3095944609295</v>
          </cell>
          <cell r="CR47">
            <v>4622.34</v>
          </cell>
          <cell r="CS47">
            <v>6466.7283248402873</v>
          </cell>
          <cell r="CT47">
            <v>18706.377919301216</v>
          </cell>
          <cell r="CU47">
            <v>11011.875420409518</v>
          </cell>
          <cell r="CV47">
            <v>0</v>
          </cell>
          <cell r="CW47">
            <v>11011.875420409518</v>
          </cell>
          <cell r="CX47">
            <v>0</v>
          </cell>
          <cell r="CZ47">
            <v>0</v>
          </cell>
          <cell r="DC47">
            <v>0</v>
          </cell>
          <cell r="DD47">
            <v>145628.1470743095</v>
          </cell>
          <cell r="DE47">
            <v>148480.07462469029</v>
          </cell>
          <cell r="DF47">
            <v>6848.9393980209397</v>
          </cell>
          <cell r="DG47">
            <v>0</v>
          </cell>
          <cell r="DH47">
            <v>0</v>
          </cell>
          <cell r="DI47">
            <v>300957.16109702067</v>
          </cell>
          <cell r="DJ47">
            <v>0</v>
          </cell>
          <cell r="DK47">
            <v>12251.5</v>
          </cell>
          <cell r="DL47">
            <v>6217.66</v>
          </cell>
          <cell r="DM47">
            <v>70073.495851086889</v>
          </cell>
          <cell r="DN47">
            <v>0</v>
          </cell>
          <cell r="DO47">
            <v>0</v>
          </cell>
          <cell r="DP47">
            <v>0</v>
          </cell>
          <cell r="DQ47">
            <v>88542.655851086893</v>
          </cell>
          <cell r="DR47">
            <v>0</v>
          </cell>
          <cell r="DS47">
            <v>0</v>
          </cell>
          <cell r="DT47">
            <v>0</v>
          </cell>
          <cell r="DU47">
            <v>0</v>
          </cell>
          <cell r="DV47">
            <v>0</v>
          </cell>
          <cell r="DW47">
            <v>0</v>
          </cell>
          <cell r="DX47">
            <v>0</v>
          </cell>
          <cell r="DY47">
            <v>6535.6788848021042</v>
          </cell>
          <cell r="DZ47">
            <v>0</v>
          </cell>
          <cell r="EA47">
            <v>0</v>
          </cell>
          <cell r="EB47">
            <v>6535.6788848021042</v>
          </cell>
          <cell r="EE47">
            <v>0</v>
          </cell>
          <cell r="EH47">
            <v>0</v>
          </cell>
          <cell r="EI47">
            <v>0</v>
          </cell>
          <cell r="EK47">
            <v>0</v>
          </cell>
          <cell r="EL47">
            <v>9010</v>
          </cell>
          <cell r="EM47">
            <v>0</v>
          </cell>
          <cell r="EO47">
            <v>9010</v>
          </cell>
          <cell r="EP47">
            <v>0</v>
          </cell>
          <cell r="EQ47">
            <v>0</v>
          </cell>
          <cell r="ER47">
            <v>1178297.9230428727</v>
          </cell>
          <cell r="ET47">
            <v>276</v>
          </cell>
          <cell r="EU47">
            <v>4269.1953733437413</v>
          </cell>
          <cell r="EV47" t="str">
            <v>No Variation Applied</v>
          </cell>
          <cell r="EW47">
            <v>78000</v>
          </cell>
          <cell r="EX47">
            <v>0</v>
          </cell>
          <cell r="EY47">
            <v>0</v>
          </cell>
          <cell r="EZ47">
            <v>193840.80990078411</v>
          </cell>
        </row>
        <row r="48">
          <cell r="C48" t="str">
            <v>Osmaston Primary School</v>
          </cell>
          <cell r="D48">
            <v>2420</v>
          </cell>
          <cell r="F48" t="str">
            <v/>
          </cell>
          <cell r="G48">
            <v>0</v>
          </cell>
          <cell r="H48">
            <v>41490</v>
          </cell>
          <cell r="I48">
            <v>0</v>
          </cell>
          <cell r="J48">
            <v>0</v>
          </cell>
          <cell r="L48">
            <v>145066.93220760292</v>
          </cell>
          <cell r="M48">
            <v>41490</v>
          </cell>
          <cell r="N48">
            <v>43.673684210526318</v>
          </cell>
          <cell r="S48">
            <v>0</v>
          </cell>
          <cell r="T48">
            <v>0</v>
          </cell>
          <cell r="U48">
            <v>60</v>
          </cell>
          <cell r="Y48">
            <v>73</v>
          </cell>
          <cell r="Z48">
            <v>60</v>
          </cell>
          <cell r="AA48">
            <v>60</v>
          </cell>
          <cell r="AB48">
            <v>52</v>
          </cell>
          <cell r="AC48">
            <v>56</v>
          </cell>
          <cell r="AD48">
            <v>29</v>
          </cell>
          <cell r="AK48">
            <v>1006453.3142718817</v>
          </cell>
          <cell r="AL48">
            <v>390</v>
          </cell>
          <cell r="BS48">
            <v>24719.076000000001</v>
          </cell>
          <cell r="BT48">
            <v>0</v>
          </cell>
          <cell r="BU48">
            <v>1740.78</v>
          </cell>
          <cell r="BV48">
            <v>0</v>
          </cell>
          <cell r="BW48">
            <v>0</v>
          </cell>
          <cell r="BX48">
            <v>-240.72777940231026</v>
          </cell>
          <cell r="BY48">
            <v>0</v>
          </cell>
          <cell r="BZ48">
            <v>6023.0987999999998</v>
          </cell>
          <cell r="CA48">
            <v>0</v>
          </cell>
          <cell r="CB48">
            <v>0</v>
          </cell>
          <cell r="CC48">
            <v>0</v>
          </cell>
          <cell r="CD48">
            <v>0</v>
          </cell>
          <cell r="CE48">
            <v>32242.227020597689</v>
          </cell>
          <cell r="CF48">
            <v>22680.611130037629</v>
          </cell>
          <cell r="CI48">
            <v>0</v>
          </cell>
          <cell r="CJ48">
            <v>0</v>
          </cell>
          <cell r="CK48">
            <v>7915.83</v>
          </cell>
          <cell r="CL48">
            <v>2847.1543081429372</v>
          </cell>
          <cell r="CM48">
            <v>33443.595438180564</v>
          </cell>
          <cell r="CQ48">
            <v>46465.588526211672</v>
          </cell>
          <cell r="CR48">
            <v>21503.94</v>
          </cell>
          <cell r="CS48">
            <v>16570.991332403235</v>
          </cell>
          <cell r="CT48">
            <v>84540.519858614905</v>
          </cell>
          <cell r="CU48">
            <v>26653.743915309406</v>
          </cell>
          <cell r="CV48">
            <v>0</v>
          </cell>
          <cell r="CW48">
            <v>26653.743915309406</v>
          </cell>
          <cell r="CX48">
            <v>0</v>
          </cell>
          <cell r="CZ48">
            <v>0</v>
          </cell>
          <cell r="DC48">
            <v>0</v>
          </cell>
          <cell r="DD48">
            <v>331280.07046858617</v>
          </cell>
          <cell r="DE48">
            <v>260351.73881358403</v>
          </cell>
          <cell r="DF48">
            <v>13697.878796041879</v>
          </cell>
          <cell r="DG48">
            <v>0</v>
          </cell>
          <cell r="DH48">
            <v>0</v>
          </cell>
          <cell r="DI48">
            <v>605329.68807821197</v>
          </cell>
          <cell r="DJ48">
            <v>0</v>
          </cell>
          <cell r="DK48">
            <v>21068</v>
          </cell>
          <cell r="DL48">
            <v>15384.46</v>
          </cell>
          <cell r="DM48">
            <v>70073.495851086889</v>
          </cell>
          <cell r="DN48">
            <v>0</v>
          </cell>
          <cell r="DO48">
            <v>0</v>
          </cell>
          <cell r="DP48">
            <v>0</v>
          </cell>
          <cell r="DQ48">
            <v>106525.95585108688</v>
          </cell>
          <cell r="DR48">
            <v>0</v>
          </cell>
          <cell r="DS48">
            <v>0</v>
          </cell>
          <cell r="DT48">
            <v>0</v>
          </cell>
          <cell r="DU48">
            <v>0</v>
          </cell>
          <cell r="DV48">
            <v>0</v>
          </cell>
          <cell r="DW48">
            <v>0</v>
          </cell>
          <cell r="DX48">
            <v>0</v>
          </cell>
          <cell r="DY48">
            <v>25815.931594968311</v>
          </cell>
          <cell r="DZ48">
            <v>0</v>
          </cell>
          <cell r="EA48">
            <v>0</v>
          </cell>
          <cell r="EB48">
            <v>25815.931594968311</v>
          </cell>
          <cell r="EE48">
            <v>0</v>
          </cell>
          <cell r="EH48">
            <v>0</v>
          </cell>
          <cell r="EI48">
            <v>0</v>
          </cell>
          <cell r="EK48">
            <v>0</v>
          </cell>
          <cell r="EL48">
            <v>20961</v>
          </cell>
          <cell r="EM48">
            <v>0</v>
          </cell>
          <cell r="EO48">
            <v>20961</v>
          </cell>
          <cell r="EP48">
            <v>0</v>
          </cell>
          <cell r="EQ48">
            <v>177309.15922820062</v>
          </cell>
          <cell r="ER48">
            <v>2087032.9082364547</v>
          </cell>
          <cell r="ET48">
            <v>433.67368421052629</v>
          </cell>
          <cell r="EU48">
            <v>4812.4499692337968</v>
          </cell>
          <cell r="EV48" t="str">
            <v>No Variation Applied</v>
          </cell>
          <cell r="EW48">
            <v>154200</v>
          </cell>
          <cell r="EX48">
            <v>0</v>
          </cell>
          <cell r="EY48">
            <v>0</v>
          </cell>
          <cell r="EZ48">
            <v>489539.15752222121</v>
          </cell>
        </row>
        <row r="49">
          <cell r="C49" t="str">
            <v>Pear Tree Community Junior School</v>
          </cell>
          <cell r="D49">
            <v>2423</v>
          </cell>
          <cell r="F49" t="str">
            <v/>
          </cell>
          <cell r="G49">
            <v>0</v>
          </cell>
          <cell r="H49">
            <v>0</v>
          </cell>
          <cell r="I49">
            <v>0</v>
          </cell>
          <cell r="J49">
            <v>0</v>
          </cell>
          <cell r="L49">
            <v>0</v>
          </cell>
          <cell r="M49">
            <v>0</v>
          </cell>
          <cell r="N49">
            <v>0</v>
          </cell>
          <cell r="S49">
            <v>0</v>
          </cell>
          <cell r="T49">
            <v>0</v>
          </cell>
          <cell r="U49">
            <v>0</v>
          </cell>
          <cell r="Y49">
            <v>0</v>
          </cell>
          <cell r="Z49">
            <v>0</v>
          </cell>
          <cell r="AA49">
            <v>90</v>
          </cell>
          <cell r="AB49">
            <v>88</v>
          </cell>
          <cell r="AC49">
            <v>82</v>
          </cell>
          <cell r="AD49">
            <v>83</v>
          </cell>
          <cell r="AK49">
            <v>881270.97318115376</v>
          </cell>
          <cell r="AL49">
            <v>343</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I49">
            <v>0</v>
          </cell>
          <cell r="CJ49">
            <v>0</v>
          </cell>
          <cell r="CK49">
            <v>6961.87</v>
          </cell>
          <cell r="CL49">
            <v>3755.1656820912253</v>
          </cell>
          <cell r="CM49">
            <v>10717.035682091226</v>
          </cell>
          <cell r="CQ49">
            <v>47227.319485657761</v>
          </cell>
          <cell r="CR49">
            <v>54865.2</v>
          </cell>
          <cell r="CS49">
            <v>42033.734111461868</v>
          </cell>
          <cell r="CT49">
            <v>144126.25359711962</v>
          </cell>
          <cell r="CU49">
            <v>2502.698959183982</v>
          </cell>
          <cell r="CV49">
            <v>0</v>
          </cell>
          <cell r="CW49">
            <v>2502.698959183982</v>
          </cell>
          <cell r="CX49">
            <v>0</v>
          </cell>
          <cell r="CZ49">
            <v>0</v>
          </cell>
          <cell r="DC49">
            <v>0</v>
          </cell>
          <cell r="DD49">
            <v>169297.32945955169</v>
          </cell>
          <cell r="DE49">
            <v>226699.28698440461</v>
          </cell>
          <cell r="DF49">
            <v>14553.996220794497</v>
          </cell>
          <cell r="DG49">
            <v>0</v>
          </cell>
          <cell r="DH49">
            <v>0</v>
          </cell>
          <cell r="DI49">
            <v>410550.61266475078</v>
          </cell>
          <cell r="DJ49">
            <v>0</v>
          </cell>
          <cell r="DK49">
            <v>11564.5</v>
          </cell>
          <cell r="DL49">
            <v>13624.66</v>
          </cell>
          <cell r="DM49">
            <v>70073.495851086889</v>
          </cell>
          <cell r="DN49">
            <v>0</v>
          </cell>
          <cell r="DO49">
            <v>0</v>
          </cell>
          <cell r="DP49">
            <v>0</v>
          </cell>
          <cell r="DQ49">
            <v>95262.655851086893</v>
          </cell>
          <cell r="DR49">
            <v>0</v>
          </cell>
          <cell r="DS49">
            <v>0</v>
          </cell>
          <cell r="DT49">
            <v>0</v>
          </cell>
          <cell r="DU49">
            <v>0</v>
          </cell>
          <cell r="DV49">
            <v>0</v>
          </cell>
          <cell r="DW49">
            <v>0</v>
          </cell>
          <cell r="DX49">
            <v>0</v>
          </cell>
          <cell r="DY49">
            <v>16339.19721200526</v>
          </cell>
          <cell r="DZ49">
            <v>0</v>
          </cell>
          <cell r="EA49">
            <v>0</v>
          </cell>
          <cell r="EB49">
            <v>16339.19721200526</v>
          </cell>
          <cell r="EE49">
            <v>0</v>
          </cell>
          <cell r="EH49">
            <v>0</v>
          </cell>
          <cell r="EI49">
            <v>0</v>
          </cell>
          <cell r="EK49">
            <v>0</v>
          </cell>
          <cell r="EL49">
            <v>-5256</v>
          </cell>
          <cell r="EM49">
            <v>0</v>
          </cell>
          <cell r="EO49">
            <v>-5256</v>
          </cell>
          <cell r="EP49">
            <v>0</v>
          </cell>
          <cell r="EQ49">
            <v>0</v>
          </cell>
          <cell r="ER49">
            <v>1555513.4271473915</v>
          </cell>
          <cell r="ET49">
            <v>343</v>
          </cell>
          <cell r="EU49">
            <v>4535.024568942832</v>
          </cell>
          <cell r="EV49" t="str">
            <v>No Variation Applied</v>
          </cell>
          <cell r="EW49">
            <v>98300</v>
          </cell>
          <cell r="EX49">
            <v>0</v>
          </cell>
          <cell r="EY49">
            <v>0</v>
          </cell>
          <cell r="EZ49">
            <v>319172.50292549725</v>
          </cell>
        </row>
        <row r="50">
          <cell r="C50" t="str">
            <v>Pear Tree Infant School</v>
          </cell>
          <cell r="D50">
            <v>2424</v>
          </cell>
          <cell r="F50" t="str">
            <v/>
          </cell>
          <cell r="G50">
            <v>0</v>
          </cell>
          <cell r="H50">
            <v>0</v>
          </cell>
          <cell r="I50">
            <v>0</v>
          </cell>
          <cell r="J50">
            <v>0</v>
          </cell>
          <cell r="L50">
            <v>0</v>
          </cell>
          <cell r="M50">
            <v>0</v>
          </cell>
          <cell r="N50">
            <v>0</v>
          </cell>
          <cell r="S50">
            <v>0</v>
          </cell>
          <cell r="T50">
            <v>0</v>
          </cell>
          <cell r="U50">
            <v>88</v>
          </cell>
          <cell r="Y50">
            <v>90</v>
          </cell>
          <cell r="Z50">
            <v>90</v>
          </cell>
          <cell r="AA50">
            <v>0</v>
          </cell>
          <cell r="AB50">
            <v>0</v>
          </cell>
          <cell r="AC50">
            <v>0</v>
          </cell>
          <cell r="AD50">
            <v>0</v>
          </cell>
          <cell r="AK50">
            <v>696855.91248581652</v>
          </cell>
          <cell r="AL50">
            <v>268</v>
          </cell>
          <cell r="BS50">
            <v>0</v>
          </cell>
          <cell r="BT50">
            <v>0</v>
          </cell>
          <cell r="BU50">
            <v>0</v>
          </cell>
          <cell r="BV50">
            <v>0</v>
          </cell>
          <cell r="BW50">
            <v>0</v>
          </cell>
          <cell r="BX50">
            <v>0</v>
          </cell>
          <cell r="BY50">
            <v>0</v>
          </cell>
          <cell r="BZ50">
            <v>0</v>
          </cell>
          <cell r="CA50">
            <v>0</v>
          </cell>
          <cell r="CB50">
            <v>0</v>
          </cell>
          <cell r="CC50">
            <v>0</v>
          </cell>
          <cell r="CD50">
            <v>0</v>
          </cell>
          <cell r="CE50">
            <v>0</v>
          </cell>
          <cell r="CF50">
            <v>34020.916695056439</v>
          </cell>
          <cell r="CI50">
            <v>0</v>
          </cell>
          <cell r="CJ50">
            <v>0</v>
          </cell>
          <cell r="CK50">
            <v>5439.6</v>
          </cell>
          <cell r="CL50">
            <v>2858.6968256083815</v>
          </cell>
          <cell r="CM50">
            <v>42319.213520664816</v>
          </cell>
          <cell r="CQ50">
            <v>20566.735905044508</v>
          </cell>
          <cell r="CR50">
            <v>36576.800000000003</v>
          </cell>
          <cell r="CS50">
            <v>33344.06792495773</v>
          </cell>
          <cell r="CT50">
            <v>90487.603830002248</v>
          </cell>
          <cell r="CU50">
            <v>4379.7231785719678</v>
          </cell>
          <cell r="CV50">
            <v>0</v>
          </cell>
          <cell r="CW50">
            <v>4379.7231785719678</v>
          </cell>
          <cell r="CX50">
            <v>0</v>
          </cell>
          <cell r="CZ50">
            <v>0</v>
          </cell>
          <cell r="DC50">
            <v>0</v>
          </cell>
          <cell r="DD50">
            <v>124613.45243320661</v>
          </cell>
          <cell r="DE50">
            <v>178267.04212213962</v>
          </cell>
          <cell r="DF50">
            <v>16266.231070299731</v>
          </cell>
          <cell r="DG50">
            <v>0</v>
          </cell>
          <cell r="DH50">
            <v>0</v>
          </cell>
          <cell r="DI50">
            <v>319146.72562564595</v>
          </cell>
          <cell r="DJ50">
            <v>0</v>
          </cell>
          <cell r="DK50">
            <v>11564.5</v>
          </cell>
          <cell r="DL50">
            <v>6819.94</v>
          </cell>
          <cell r="DM50">
            <v>70073.495851086889</v>
          </cell>
          <cell r="DN50">
            <v>0</v>
          </cell>
          <cell r="DO50">
            <v>0</v>
          </cell>
          <cell r="DP50">
            <v>0</v>
          </cell>
          <cell r="DQ50">
            <v>88457.935851086891</v>
          </cell>
          <cell r="DR50">
            <v>0</v>
          </cell>
          <cell r="DS50">
            <v>0</v>
          </cell>
          <cell r="DT50">
            <v>0</v>
          </cell>
          <cell r="DU50">
            <v>0</v>
          </cell>
          <cell r="DV50">
            <v>0</v>
          </cell>
          <cell r="DW50">
            <v>0</v>
          </cell>
          <cell r="DX50">
            <v>0</v>
          </cell>
          <cell r="DY50">
            <v>9803.5183272031554</v>
          </cell>
          <cell r="DZ50">
            <v>0</v>
          </cell>
          <cell r="EA50">
            <v>0</v>
          </cell>
          <cell r="EB50">
            <v>9803.5183272031554</v>
          </cell>
          <cell r="EE50">
            <v>0</v>
          </cell>
          <cell r="EH50">
            <v>0</v>
          </cell>
          <cell r="EI50">
            <v>0</v>
          </cell>
          <cell r="EK50">
            <v>0</v>
          </cell>
          <cell r="EL50">
            <v>6132</v>
          </cell>
          <cell r="EM50">
            <v>0</v>
          </cell>
          <cell r="EO50">
            <v>6132</v>
          </cell>
          <cell r="EP50">
            <v>160884.04143549176</v>
          </cell>
          <cell r="EQ50">
            <v>0</v>
          </cell>
          <cell r="ER50">
            <v>1418466.6742544833</v>
          </cell>
          <cell r="ET50">
            <v>268</v>
          </cell>
          <cell r="EU50">
            <v>5292.7860979644902</v>
          </cell>
          <cell r="EV50" t="str">
            <v>No Variation Applied</v>
          </cell>
          <cell r="EW50">
            <v>60600</v>
          </cell>
          <cell r="EX50">
            <v>0</v>
          </cell>
          <cell r="EY50">
            <v>0</v>
          </cell>
          <cell r="EZ50">
            <v>223447.42915241778</v>
          </cell>
        </row>
        <row r="51">
          <cell r="C51" t="str">
            <v>Rosehill Infant and Nursery School</v>
          </cell>
          <cell r="D51">
            <v>2429</v>
          </cell>
          <cell r="F51" t="str">
            <v/>
          </cell>
          <cell r="G51">
            <v>0</v>
          </cell>
          <cell r="H51">
            <v>32520</v>
          </cell>
          <cell r="I51">
            <v>0</v>
          </cell>
          <cell r="J51">
            <v>0</v>
          </cell>
          <cell r="L51">
            <v>113703.94397183049</v>
          </cell>
          <cell r="M51">
            <v>32520</v>
          </cell>
          <cell r="N51">
            <v>34.231578947368419</v>
          </cell>
          <cell r="S51">
            <v>0</v>
          </cell>
          <cell r="T51">
            <v>0</v>
          </cell>
          <cell r="U51">
            <v>52</v>
          </cell>
          <cell r="Y51">
            <v>52</v>
          </cell>
          <cell r="Z51">
            <v>51</v>
          </cell>
          <cell r="AA51">
            <v>0</v>
          </cell>
          <cell r="AB51">
            <v>0</v>
          </cell>
          <cell r="AC51">
            <v>0</v>
          </cell>
          <cell r="AD51">
            <v>0</v>
          </cell>
          <cell r="AK51">
            <v>403536.47634086036</v>
          </cell>
          <cell r="AL51">
            <v>155</v>
          </cell>
          <cell r="BS51">
            <v>20193.047999999999</v>
          </cell>
          <cell r="BT51">
            <v>0</v>
          </cell>
          <cell r="BU51">
            <v>4177.8720000000003</v>
          </cell>
          <cell r="BV51">
            <v>0</v>
          </cell>
          <cell r="BW51">
            <v>0</v>
          </cell>
          <cell r="BX51">
            <v>-11780.647999999986</v>
          </cell>
          <cell r="BY51">
            <v>0</v>
          </cell>
          <cell r="BZ51">
            <v>3011.5493999999999</v>
          </cell>
          <cell r="CA51">
            <v>0</v>
          </cell>
          <cell r="CB51">
            <v>0</v>
          </cell>
          <cell r="CC51">
            <v>0</v>
          </cell>
          <cell r="CD51">
            <v>0</v>
          </cell>
          <cell r="CE51">
            <v>15601.821400000012</v>
          </cell>
          <cell r="CF51">
            <v>22680.611130037629</v>
          </cell>
          <cell r="CI51">
            <v>0</v>
          </cell>
          <cell r="CJ51">
            <v>0</v>
          </cell>
          <cell r="CK51">
            <v>3146.03</v>
          </cell>
          <cell r="CL51">
            <v>1789.0902071438727</v>
          </cell>
          <cell r="CM51">
            <v>27615.7313371815</v>
          </cell>
          <cell r="CQ51">
            <v>4570.3857566765573</v>
          </cell>
          <cell r="CR51">
            <v>22508.799999999999</v>
          </cell>
          <cell r="CS51">
            <v>27079.424860268704</v>
          </cell>
          <cell r="CT51">
            <v>54158.610616945261</v>
          </cell>
          <cell r="CU51">
            <v>13139.169535715904</v>
          </cell>
          <cell r="CV51">
            <v>0</v>
          </cell>
          <cell r="CW51">
            <v>13139.169535715904</v>
          </cell>
          <cell r="CX51">
            <v>0</v>
          </cell>
          <cell r="CZ51">
            <v>0</v>
          </cell>
          <cell r="DC51">
            <v>0</v>
          </cell>
          <cell r="DD51">
            <v>58516.70760413773</v>
          </cell>
          <cell r="DE51">
            <v>101866.88121265122</v>
          </cell>
          <cell r="DF51">
            <v>8561.1742475261744</v>
          </cell>
          <cell r="DG51">
            <v>0</v>
          </cell>
          <cell r="DH51">
            <v>0</v>
          </cell>
          <cell r="DI51">
            <v>168944.76306431514</v>
          </cell>
          <cell r="DJ51">
            <v>0</v>
          </cell>
          <cell r="DK51">
            <v>8473</v>
          </cell>
          <cell r="DL51">
            <v>5778.79</v>
          </cell>
          <cell r="DM51">
            <v>74722.185859261808</v>
          </cell>
          <cell r="DN51">
            <v>0</v>
          </cell>
          <cell r="DO51">
            <v>0</v>
          </cell>
          <cell r="DP51">
            <v>0</v>
          </cell>
          <cell r="DQ51">
            <v>88973.975859261816</v>
          </cell>
          <cell r="DR51">
            <v>0</v>
          </cell>
          <cell r="DS51">
            <v>0</v>
          </cell>
          <cell r="DT51">
            <v>0</v>
          </cell>
          <cell r="DU51">
            <v>0</v>
          </cell>
          <cell r="DV51">
            <v>0</v>
          </cell>
          <cell r="DW51">
            <v>0</v>
          </cell>
          <cell r="DX51">
            <v>0</v>
          </cell>
          <cell r="DY51">
            <v>3921.4073308812622</v>
          </cell>
          <cell r="DZ51">
            <v>0</v>
          </cell>
          <cell r="EA51">
            <v>0</v>
          </cell>
          <cell r="EB51">
            <v>3921.4073308812622</v>
          </cell>
          <cell r="EE51">
            <v>0</v>
          </cell>
          <cell r="EH51">
            <v>0</v>
          </cell>
          <cell r="EI51">
            <v>0</v>
          </cell>
          <cell r="EK51">
            <v>0</v>
          </cell>
          <cell r="EL51">
            <v>10511</v>
          </cell>
          <cell r="EM51">
            <v>0</v>
          </cell>
          <cell r="EO51">
            <v>10511</v>
          </cell>
          <cell r="EP51">
            <v>0</v>
          </cell>
          <cell r="EQ51">
            <v>129305.76537183051</v>
          </cell>
          <cell r="ER51">
            <v>900106.8994569917</v>
          </cell>
          <cell r="ET51">
            <v>189.2315789473684</v>
          </cell>
          <cell r="EU51">
            <v>4756.6421231804097</v>
          </cell>
          <cell r="EV51" t="str">
            <v>No Variation Applied</v>
          </cell>
          <cell r="EW51">
            <v>29400</v>
          </cell>
          <cell r="EX51">
            <v>0</v>
          </cell>
          <cell r="EY51">
            <v>0</v>
          </cell>
          <cell r="EZ51">
            <v>124908.37213204296</v>
          </cell>
        </row>
        <row r="52">
          <cell r="C52" t="str">
            <v>Sinfin Primary School</v>
          </cell>
          <cell r="D52">
            <v>2430</v>
          </cell>
          <cell r="F52" t="str">
            <v/>
          </cell>
          <cell r="G52">
            <v>0</v>
          </cell>
          <cell r="H52">
            <v>12030</v>
          </cell>
          <cell r="I52">
            <v>0</v>
          </cell>
          <cell r="J52">
            <v>0</v>
          </cell>
          <cell r="L52">
            <v>42062.067834597809</v>
          </cell>
          <cell r="M52">
            <v>12030</v>
          </cell>
          <cell r="N52">
            <v>12.663157894736843</v>
          </cell>
          <cell r="S52">
            <v>0</v>
          </cell>
          <cell r="T52">
            <v>0</v>
          </cell>
          <cell r="U52">
            <v>20</v>
          </cell>
          <cell r="Y52">
            <v>19</v>
          </cell>
          <cell r="Z52">
            <v>14</v>
          </cell>
          <cell r="AA52">
            <v>18</v>
          </cell>
          <cell r="AB52">
            <v>16</v>
          </cell>
          <cell r="AC52">
            <v>14</v>
          </cell>
          <cell r="AD52">
            <v>12</v>
          </cell>
          <cell r="AK52">
            <v>293154.65272212337</v>
          </cell>
          <cell r="AL52">
            <v>113</v>
          </cell>
          <cell r="BS52">
            <v>6963.12</v>
          </cell>
          <cell r="BT52">
            <v>0</v>
          </cell>
          <cell r="BU52">
            <v>928.41600000000005</v>
          </cell>
          <cell r="BV52">
            <v>0</v>
          </cell>
          <cell r="BW52">
            <v>0</v>
          </cell>
          <cell r="BX52">
            <v>-7526.8041999999987</v>
          </cell>
          <cell r="BY52">
            <v>0</v>
          </cell>
          <cell r="BZ52">
            <v>1003.8498</v>
          </cell>
          <cell r="CA52">
            <v>0</v>
          </cell>
          <cell r="CB52">
            <v>0</v>
          </cell>
          <cell r="CC52">
            <v>0</v>
          </cell>
          <cell r="CD52">
            <v>0</v>
          </cell>
          <cell r="CE52">
            <v>1368.5816000000023</v>
          </cell>
          <cell r="CF52">
            <v>11340.305565018814</v>
          </cell>
          <cell r="CI52">
            <v>0</v>
          </cell>
          <cell r="CJ52">
            <v>0</v>
          </cell>
          <cell r="CK52">
            <v>2293.56</v>
          </cell>
          <cell r="CL52">
            <v>1161.9467581880635</v>
          </cell>
          <cell r="CM52">
            <v>14795.812323206877</v>
          </cell>
          <cell r="CQ52">
            <v>4570.3857566765573</v>
          </cell>
          <cell r="CR52">
            <v>9445.66</v>
          </cell>
          <cell r="CS52">
            <v>5860.47254438651</v>
          </cell>
          <cell r="CT52">
            <v>19876.518301063068</v>
          </cell>
          <cell r="CU52">
            <v>0</v>
          </cell>
          <cell r="CV52">
            <v>0</v>
          </cell>
          <cell r="CW52">
            <v>0</v>
          </cell>
          <cell r="CX52">
            <v>0</v>
          </cell>
          <cell r="CZ52">
            <v>0</v>
          </cell>
          <cell r="DC52">
            <v>0</v>
          </cell>
          <cell r="DD52">
            <v>72909.93003902644</v>
          </cell>
          <cell r="DE52">
            <v>73671.583734149535</v>
          </cell>
          <cell r="DF52">
            <v>856.11742475261747</v>
          </cell>
          <cell r="DG52">
            <v>0</v>
          </cell>
          <cell r="DH52">
            <v>0</v>
          </cell>
          <cell r="DI52">
            <v>147437.6311979286</v>
          </cell>
          <cell r="DJ52">
            <v>0</v>
          </cell>
          <cell r="DK52">
            <v>18434.5</v>
          </cell>
          <cell r="DL52">
            <v>1522.32</v>
          </cell>
          <cell r="DM52">
            <v>74722.185859261808</v>
          </cell>
          <cell r="DN52">
            <v>0</v>
          </cell>
          <cell r="DO52">
            <v>0</v>
          </cell>
          <cell r="DP52">
            <v>0</v>
          </cell>
          <cell r="DQ52">
            <v>94679.005859261815</v>
          </cell>
          <cell r="DR52">
            <v>20979.235406779724</v>
          </cell>
          <cell r="DS52">
            <v>0</v>
          </cell>
          <cell r="DT52">
            <v>2721.2288460713607</v>
          </cell>
          <cell r="DU52">
            <v>0</v>
          </cell>
          <cell r="DV52">
            <v>0</v>
          </cell>
          <cell r="DW52">
            <v>0</v>
          </cell>
          <cell r="DX52">
            <v>23700.464252851085</v>
          </cell>
          <cell r="DY52">
            <v>3594.6233866411571</v>
          </cell>
          <cell r="DZ52">
            <v>0</v>
          </cell>
          <cell r="EA52">
            <v>9695.2144223708819</v>
          </cell>
          <cell r="EB52">
            <v>13289.837809012039</v>
          </cell>
          <cell r="EE52">
            <v>0</v>
          </cell>
          <cell r="EH52">
            <v>0</v>
          </cell>
          <cell r="EI52">
            <v>0</v>
          </cell>
          <cell r="EK52">
            <v>0</v>
          </cell>
          <cell r="EL52">
            <v>0</v>
          </cell>
          <cell r="EM52">
            <v>0</v>
          </cell>
          <cell r="EO52">
            <v>0</v>
          </cell>
          <cell r="EP52">
            <v>57249.303847600357</v>
          </cell>
          <cell r="EQ52">
            <v>43430.649434597814</v>
          </cell>
          <cell r="ER52">
            <v>707613.87574764504</v>
          </cell>
          <cell r="ET52">
            <v>125.66315789473684</v>
          </cell>
          <cell r="EU52">
            <v>5631.0368735153525</v>
          </cell>
          <cell r="EV52" t="str">
            <v>No Variation Applied</v>
          </cell>
          <cell r="EW52">
            <v>37200</v>
          </cell>
          <cell r="EX52">
            <v>0</v>
          </cell>
          <cell r="EY52">
            <v>0</v>
          </cell>
          <cell r="EZ52">
            <v>98048.644388083238</v>
          </cell>
        </row>
        <row r="53">
          <cell r="C53" t="str">
            <v>Brackensdale Junior School</v>
          </cell>
          <cell r="D53">
            <v>2432</v>
          </cell>
          <cell r="F53" t="str">
            <v/>
          </cell>
          <cell r="G53">
            <v>0</v>
          </cell>
          <cell r="H53">
            <v>0</v>
          </cell>
          <cell r="I53">
            <v>0</v>
          </cell>
          <cell r="J53">
            <v>0</v>
          </cell>
          <cell r="L53">
            <v>0</v>
          </cell>
          <cell r="M53">
            <v>0</v>
          </cell>
          <cell r="N53">
            <v>0</v>
          </cell>
          <cell r="S53">
            <v>0</v>
          </cell>
          <cell r="T53">
            <v>0</v>
          </cell>
          <cell r="U53">
            <v>0</v>
          </cell>
          <cell r="Y53">
            <v>0</v>
          </cell>
          <cell r="Z53">
            <v>0</v>
          </cell>
          <cell r="AA53">
            <v>58</v>
          </cell>
          <cell r="AB53">
            <v>51</v>
          </cell>
          <cell r="AC53">
            <v>51</v>
          </cell>
          <cell r="AD53">
            <v>55</v>
          </cell>
          <cell r="AK53">
            <v>552400.17269372614</v>
          </cell>
          <cell r="AL53">
            <v>215</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I53">
            <v>0</v>
          </cell>
          <cell r="CJ53">
            <v>0</v>
          </cell>
          <cell r="CK53">
            <v>4363.8500000000004</v>
          </cell>
          <cell r="CL53">
            <v>1423.5771540714686</v>
          </cell>
          <cell r="CM53">
            <v>5787.427154071469</v>
          </cell>
          <cell r="CQ53">
            <v>2285.1928783382787</v>
          </cell>
          <cell r="CR53">
            <v>2411.66</v>
          </cell>
          <cell r="CS53">
            <v>4243.7904631764386</v>
          </cell>
          <cell r="CT53">
            <v>8940.6433415147185</v>
          </cell>
          <cell r="CU53">
            <v>3003.2387510207782</v>
          </cell>
          <cell r="CV53">
            <v>0</v>
          </cell>
          <cell r="CW53">
            <v>3003.2387510207782</v>
          </cell>
          <cell r="CX53">
            <v>623434.01330461411</v>
          </cell>
          <cell r="CZ53">
            <v>623434.01330461411</v>
          </cell>
          <cell r="DC53">
            <v>0</v>
          </cell>
          <cell r="DD53">
            <v>117225.12821201884</v>
          </cell>
          <cell r="DE53">
            <v>64348.945051741728</v>
          </cell>
          <cell r="DF53">
            <v>9417.2916722787922</v>
          </cell>
          <cell r="DG53">
            <v>0</v>
          </cell>
          <cell r="DH53">
            <v>0</v>
          </cell>
          <cell r="DI53">
            <v>190991.36493603938</v>
          </cell>
          <cell r="DJ53">
            <v>0</v>
          </cell>
          <cell r="DK53">
            <v>7671.5</v>
          </cell>
          <cell r="DL53">
            <v>5467.73</v>
          </cell>
          <cell r="DM53">
            <v>70073.495851086889</v>
          </cell>
          <cell r="DN53">
            <v>0</v>
          </cell>
          <cell r="DO53">
            <v>0</v>
          </cell>
          <cell r="DP53">
            <v>0</v>
          </cell>
          <cell r="DQ53">
            <v>83212.725851086885</v>
          </cell>
          <cell r="DR53">
            <v>0</v>
          </cell>
          <cell r="DS53">
            <v>0</v>
          </cell>
          <cell r="DT53">
            <v>0</v>
          </cell>
          <cell r="DU53">
            <v>0</v>
          </cell>
          <cell r="DV53">
            <v>0</v>
          </cell>
          <cell r="DW53">
            <v>0</v>
          </cell>
          <cell r="DX53">
            <v>0</v>
          </cell>
          <cell r="DY53">
            <v>3267.8394424010521</v>
          </cell>
          <cell r="DZ53">
            <v>0</v>
          </cell>
          <cell r="EA53">
            <v>0</v>
          </cell>
          <cell r="EB53">
            <v>3267.8394424010521</v>
          </cell>
          <cell r="EE53">
            <v>0</v>
          </cell>
          <cell r="EH53">
            <v>0</v>
          </cell>
          <cell r="EI53">
            <v>0</v>
          </cell>
          <cell r="EK53">
            <v>0</v>
          </cell>
          <cell r="EL53">
            <v>-5006</v>
          </cell>
          <cell r="EM53">
            <v>0</v>
          </cell>
          <cell r="EO53">
            <v>-5006</v>
          </cell>
          <cell r="EP53">
            <v>14095.520642657531</v>
          </cell>
          <cell r="EQ53">
            <v>0</v>
          </cell>
          <cell r="ER53">
            <v>1480126.946117132</v>
          </cell>
          <cell r="ET53">
            <v>215</v>
          </cell>
          <cell r="EU53">
            <v>6884.3113772889856</v>
          </cell>
          <cell r="EV53" t="str">
            <v>No Variation Applied</v>
          </cell>
          <cell r="EW53">
            <v>65400</v>
          </cell>
          <cell r="EX53">
            <v>0</v>
          </cell>
          <cell r="EY53">
            <v>0</v>
          </cell>
          <cell r="EZ53">
            <v>770062.30519794708</v>
          </cell>
        </row>
        <row r="54">
          <cell r="C54" t="str">
            <v>Brackensdale Infant School</v>
          </cell>
          <cell r="D54">
            <v>2433</v>
          </cell>
          <cell r="F54" t="str">
            <v/>
          </cell>
          <cell r="G54">
            <v>0</v>
          </cell>
          <cell r="H54">
            <v>24336</v>
          </cell>
          <cell r="I54">
            <v>0</v>
          </cell>
          <cell r="J54">
            <v>0</v>
          </cell>
          <cell r="L54">
            <v>85089.150691834773</v>
          </cell>
          <cell r="M54">
            <v>24336</v>
          </cell>
          <cell r="N54">
            <v>25.616842105263157</v>
          </cell>
          <cell r="S54">
            <v>0</v>
          </cell>
          <cell r="T54">
            <v>0</v>
          </cell>
          <cell r="U54">
            <v>61</v>
          </cell>
          <cell r="Y54">
            <v>50</v>
          </cell>
          <cell r="Z54">
            <v>65</v>
          </cell>
          <cell r="AA54">
            <v>0</v>
          </cell>
          <cell r="AB54">
            <v>0</v>
          </cell>
          <cell r="AC54">
            <v>0</v>
          </cell>
          <cell r="AD54">
            <v>0</v>
          </cell>
          <cell r="AK54">
            <v>459101.44652005914</v>
          </cell>
          <cell r="AL54">
            <v>176</v>
          </cell>
          <cell r="BS54">
            <v>6057.9144000000006</v>
          </cell>
          <cell r="BT54">
            <v>0</v>
          </cell>
          <cell r="BU54">
            <v>348.15600000000001</v>
          </cell>
          <cell r="BV54">
            <v>0</v>
          </cell>
          <cell r="BW54">
            <v>0</v>
          </cell>
          <cell r="BX54">
            <v>-10265.964327621026</v>
          </cell>
          <cell r="BY54">
            <v>0</v>
          </cell>
          <cell r="BZ54">
            <v>2007.6995999999999</v>
          </cell>
          <cell r="CA54">
            <v>0</v>
          </cell>
          <cell r="CB54">
            <v>0</v>
          </cell>
          <cell r="CC54">
            <v>0</v>
          </cell>
          <cell r="CD54">
            <v>0</v>
          </cell>
          <cell r="CE54">
            <v>-1852.1943276210259</v>
          </cell>
          <cell r="CF54">
            <v>22680.611130037629</v>
          </cell>
          <cell r="CI54">
            <v>0</v>
          </cell>
          <cell r="CJ54">
            <v>0</v>
          </cell>
          <cell r="CK54">
            <v>3572.27</v>
          </cell>
          <cell r="CL54">
            <v>1869.8878294019833</v>
          </cell>
          <cell r="CM54">
            <v>28122.768959439614</v>
          </cell>
          <cell r="CQ54">
            <v>3808.6547972304647</v>
          </cell>
          <cell r="CR54">
            <v>2210.69</v>
          </cell>
          <cell r="CS54">
            <v>1616.6820812100718</v>
          </cell>
          <cell r="CT54">
            <v>7636.0268784405362</v>
          </cell>
          <cell r="CU54">
            <v>2502.698959183982</v>
          </cell>
          <cell r="CV54">
            <v>0</v>
          </cell>
          <cell r="CW54">
            <v>2502.698959183982</v>
          </cell>
          <cell r="CX54">
            <v>492200.68550177501</v>
          </cell>
          <cell r="CZ54">
            <v>492200.68550177501</v>
          </cell>
          <cell r="DC54">
            <v>0</v>
          </cell>
          <cell r="DD54">
            <v>77702.755132611317</v>
          </cell>
          <cell r="DE54">
            <v>56390.594957003348</v>
          </cell>
          <cell r="DF54">
            <v>7705.0568227735575</v>
          </cell>
          <cell r="DG54">
            <v>0</v>
          </cell>
          <cell r="DH54">
            <v>0</v>
          </cell>
          <cell r="DI54">
            <v>141798.40691238822</v>
          </cell>
          <cell r="DJ54">
            <v>0</v>
          </cell>
          <cell r="DK54">
            <v>7671.5</v>
          </cell>
          <cell r="DL54">
            <v>5003.1400000000003</v>
          </cell>
          <cell r="DM54">
            <v>70073.495851086889</v>
          </cell>
          <cell r="DN54">
            <v>0</v>
          </cell>
          <cell r="DO54">
            <v>0</v>
          </cell>
          <cell r="DP54">
            <v>0</v>
          </cell>
          <cell r="DQ54">
            <v>82748.135851086889</v>
          </cell>
          <cell r="DR54">
            <v>0</v>
          </cell>
          <cell r="DS54">
            <v>0</v>
          </cell>
          <cell r="DT54">
            <v>0</v>
          </cell>
          <cell r="DU54">
            <v>0</v>
          </cell>
          <cell r="DV54">
            <v>0</v>
          </cell>
          <cell r="DW54">
            <v>0</v>
          </cell>
          <cell r="DX54">
            <v>0</v>
          </cell>
          <cell r="DY54">
            <v>5228.5431078416832</v>
          </cell>
          <cell r="DZ54">
            <v>0</v>
          </cell>
          <cell r="EA54">
            <v>0</v>
          </cell>
          <cell r="EB54">
            <v>5228.5431078416832</v>
          </cell>
          <cell r="EE54">
            <v>0</v>
          </cell>
          <cell r="EH54">
            <v>0</v>
          </cell>
          <cell r="EI54">
            <v>0</v>
          </cell>
          <cell r="EK54">
            <v>0</v>
          </cell>
          <cell r="EL54">
            <v>0</v>
          </cell>
          <cell r="EM54">
            <v>0</v>
          </cell>
          <cell r="EO54">
            <v>0</v>
          </cell>
          <cell r="EP54">
            <v>68214.934877201449</v>
          </cell>
          <cell r="EQ54">
            <v>83236.956364213751</v>
          </cell>
          <cell r="ER54">
            <v>1370790.6039316303</v>
          </cell>
          <cell r="ET54">
            <v>201.61684210526315</v>
          </cell>
          <cell r="EU54">
            <v>6798.9885647348219</v>
          </cell>
          <cell r="EV54" t="str">
            <v>No Variation Applied</v>
          </cell>
          <cell r="EW54">
            <v>38650</v>
          </cell>
          <cell r="EX54">
            <v>0</v>
          </cell>
          <cell r="EY54">
            <v>0</v>
          </cell>
          <cell r="EZ54">
            <v>601097.06831658084</v>
          </cell>
        </row>
        <row r="55">
          <cell r="C55" t="str">
            <v>Lakeside Community Primary School</v>
          </cell>
          <cell r="D55">
            <v>2434</v>
          </cell>
          <cell r="F55" t="str">
            <v/>
          </cell>
          <cell r="G55">
            <v>0</v>
          </cell>
          <cell r="H55">
            <v>59280</v>
          </cell>
          <cell r="I55">
            <v>0</v>
          </cell>
          <cell r="J55">
            <v>0</v>
          </cell>
          <cell r="L55">
            <v>207268.44399293084</v>
          </cell>
          <cell r="M55">
            <v>59280</v>
          </cell>
          <cell r="N55">
            <v>62.4</v>
          </cell>
          <cell r="S55">
            <v>0</v>
          </cell>
          <cell r="T55">
            <v>0</v>
          </cell>
          <cell r="U55">
            <v>56</v>
          </cell>
          <cell r="Y55">
            <v>52</v>
          </cell>
          <cell r="Z55">
            <v>49</v>
          </cell>
          <cell r="AA55">
            <v>53</v>
          </cell>
          <cell r="AB55">
            <v>52</v>
          </cell>
          <cell r="AC55">
            <v>54</v>
          </cell>
          <cell r="AD55">
            <v>52</v>
          </cell>
          <cell r="AK55">
            <v>952385.89583938685</v>
          </cell>
          <cell r="AL55">
            <v>368</v>
          </cell>
          <cell r="BS55">
            <v>24138.815999999999</v>
          </cell>
          <cell r="BT55">
            <v>0</v>
          </cell>
          <cell r="BU55">
            <v>812.36400000000003</v>
          </cell>
          <cell r="BV55">
            <v>0</v>
          </cell>
          <cell r="BW55">
            <v>0</v>
          </cell>
          <cell r="BX55">
            <v>-8231.9026000000013</v>
          </cell>
          <cell r="BY55">
            <v>0</v>
          </cell>
          <cell r="BZ55">
            <v>3011.5493999999999</v>
          </cell>
          <cell r="CA55">
            <v>0</v>
          </cell>
          <cell r="CB55">
            <v>0</v>
          </cell>
          <cell r="CC55">
            <v>0</v>
          </cell>
          <cell r="CD55">
            <v>0</v>
          </cell>
          <cell r="CE55">
            <v>19730.826799999999</v>
          </cell>
          <cell r="CF55">
            <v>22680.611130037629</v>
          </cell>
          <cell r="CI55">
            <v>0</v>
          </cell>
          <cell r="CJ55">
            <v>0</v>
          </cell>
          <cell r="CK55">
            <v>7469.3</v>
          </cell>
          <cell r="CL55">
            <v>2781.746709172086</v>
          </cell>
          <cell r="CM55">
            <v>32931.657839209714</v>
          </cell>
          <cell r="CQ55">
            <v>11425.964391691394</v>
          </cell>
          <cell r="CR55">
            <v>1808.74</v>
          </cell>
          <cell r="CS55">
            <v>5860.47254438651</v>
          </cell>
          <cell r="CT55">
            <v>19095.176936077904</v>
          </cell>
          <cell r="CU55">
            <v>6006.4775020415564</v>
          </cell>
          <cell r="CV55">
            <v>0</v>
          </cell>
          <cell r="CW55">
            <v>6006.4775020415564</v>
          </cell>
          <cell r="CX55">
            <v>188680.60004797752</v>
          </cell>
          <cell r="CZ55">
            <v>188680.60004797752</v>
          </cell>
          <cell r="DC55">
            <v>0</v>
          </cell>
          <cell r="DD55">
            <v>212948.90569650929</v>
          </cell>
          <cell r="DE55">
            <v>175083.70208424429</v>
          </cell>
          <cell r="DF55">
            <v>25683.522742578523</v>
          </cell>
          <cell r="DG55">
            <v>0</v>
          </cell>
          <cell r="DH55">
            <v>0</v>
          </cell>
          <cell r="DI55">
            <v>413716.1305233321</v>
          </cell>
          <cell r="DJ55">
            <v>0</v>
          </cell>
          <cell r="DK55">
            <v>55004.81</v>
          </cell>
          <cell r="DL55">
            <v>3393.6</v>
          </cell>
          <cell r="DM55">
            <v>70073.495851086889</v>
          </cell>
          <cell r="DN55">
            <v>0</v>
          </cell>
          <cell r="DO55">
            <v>0</v>
          </cell>
          <cell r="DP55">
            <v>0</v>
          </cell>
          <cell r="DQ55">
            <v>128471.90585108689</v>
          </cell>
          <cell r="DR55">
            <v>128521.25444332088</v>
          </cell>
          <cell r="DS55">
            <v>0</v>
          </cell>
          <cell r="DT55">
            <v>8153.7170096320333</v>
          </cell>
          <cell r="DU55">
            <v>0</v>
          </cell>
          <cell r="DV55">
            <v>0</v>
          </cell>
          <cell r="DW55">
            <v>0</v>
          </cell>
          <cell r="DX55">
            <v>136674.97145295292</v>
          </cell>
          <cell r="DY55">
            <v>12091.005936883892</v>
          </cell>
          <cell r="DZ55">
            <v>0</v>
          </cell>
          <cell r="EA55">
            <v>0</v>
          </cell>
          <cell r="EB55">
            <v>12091.005936883892</v>
          </cell>
          <cell r="EE55">
            <v>0</v>
          </cell>
          <cell r="EH55">
            <v>0</v>
          </cell>
          <cell r="EI55">
            <v>0</v>
          </cell>
          <cell r="EK55">
            <v>0</v>
          </cell>
          <cell r="EL55">
            <v>0</v>
          </cell>
          <cell r="EM55">
            <v>0</v>
          </cell>
          <cell r="EO55">
            <v>0</v>
          </cell>
          <cell r="EP55">
            <v>0</v>
          </cell>
          <cell r="EQ55">
            <v>226999.27079293085</v>
          </cell>
          <cell r="ER55">
            <v>2117053.0927218799</v>
          </cell>
          <cell r="ET55">
            <v>430.4</v>
          </cell>
          <cell r="EU55">
            <v>4918.8036540935873</v>
          </cell>
          <cell r="EV55" t="str">
            <v>No Variation Applied</v>
          </cell>
          <cell r="EW55">
            <v>120200</v>
          </cell>
          <cell r="EX55">
            <v>0</v>
          </cell>
          <cell r="EY55">
            <v>0</v>
          </cell>
          <cell r="EZ55">
            <v>477904.48908939032</v>
          </cell>
        </row>
        <row r="56">
          <cell r="C56" t="str">
            <v>Markeaton Primary School</v>
          </cell>
          <cell r="D56">
            <v>2436</v>
          </cell>
          <cell r="F56" t="str">
            <v/>
          </cell>
          <cell r="G56">
            <v>0</v>
          </cell>
          <cell r="H56">
            <v>0</v>
          </cell>
          <cell r="I56">
            <v>0</v>
          </cell>
          <cell r="J56">
            <v>0</v>
          </cell>
          <cell r="L56">
            <v>0</v>
          </cell>
          <cell r="M56">
            <v>0</v>
          </cell>
          <cell r="N56">
            <v>0</v>
          </cell>
          <cell r="S56">
            <v>0</v>
          </cell>
          <cell r="T56">
            <v>0</v>
          </cell>
          <cell r="U56">
            <v>45</v>
          </cell>
          <cell r="Y56">
            <v>44</v>
          </cell>
          <cell r="Z56">
            <v>45</v>
          </cell>
          <cell r="AA56">
            <v>46</v>
          </cell>
          <cell r="AB56">
            <v>41</v>
          </cell>
          <cell r="AC56">
            <v>47</v>
          </cell>
          <cell r="AD56">
            <v>36</v>
          </cell>
          <cell r="AK56">
            <v>785665.93822151981</v>
          </cell>
          <cell r="AL56">
            <v>304</v>
          </cell>
          <cell r="BS56">
            <v>0</v>
          </cell>
          <cell r="BT56">
            <v>0</v>
          </cell>
          <cell r="BU56">
            <v>0</v>
          </cell>
          <cell r="BV56">
            <v>0</v>
          </cell>
          <cell r="BW56">
            <v>0</v>
          </cell>
          <cell r="BX56">
            <v>0</v>
          </cell>
          <cell r="BY56">
            <v>0</v>
          </cell>
          <cell r="BZ56">
            <v>0</v>
          </cell>
          <cell r="CA56">
            <v>0</v>
          </cell>
          <cell r="CB56">
            <v>0</v>
          </cell>
          <cell r="CC56">
            <v>0</v>
          </cell>
          <cell r="CD56">
            <v>0</v>
          </cell>
          <cell r="CE56">
            <v>0</v>
          </cell>
          <cell r="CF56">
            <v>22680.611130037629</v>
          </cell>
          <cell r="CI56">
            <v>0</v>
          </cell>
          <cell r="CJ56">
            <v>0</v>
          </cell>
          <cell r="CK56">
            <v>6170.29</v>
          </cell>
          <cell r="CL56">
            <v>4840.1623238429929</v>
          </cell>
          <cell r="CM56">
            <v>33691.063453880619</v>
          </cell>
          <cell r="CQ56">
            <v>3808.6547972304647</v>
          </cell>
          <cell r="CR56">
            <v>1607.77</v>
          </cell>
          <cell r="CS56">
            <v>3233.3641624201437</v>
          </cell>
          <cell r="CT56">
            <v>8649.7889596506084</v>
          </cell>
          <cell r="CU56">
            <v>16517.813130614279</v>
          </cell>
          <cell r="CV56">
            <v>0</v>
          </cell>
          <cell r="CW56">
            <v>16517.813130614279</v>
          </cell>
          <cell r="CX56">
            <v>205994.57915850607</v>
          </cell>
          <cell r="CZ56">
            <v>205994.57915850607</v>
          </cell>
          <cell r="DC56">
            <v>0</v>
          </cell>
          <cell r="DD56">
            <v>57071.486498995218</v>
          </cell>
          <cell r="DE56">
            <v>52752.49205655152</v>
          </cell>
          <cell r="DF56">
            <v>1712.2348495052349</v>
          </cell>
          <cell r="DG56">
            <v>0</v>
          </cell>
          <cell r="DH56">
            <v>0</v>
          </cell>
          <cell r="DI56">
            <v>111536.21340505197</v>
          </cell>
          <cell r="DJ56">
            <v>0</v>
          </cell>
          <cell r="DK56">
            <v>13053</v>
          </cell>
          <cell r="DL56">
            <v>5092.29</v>
          </cell>
          <cell r="DM56">
            <v>70073.495851086889</v>
          </cell>
          <cell r="DN56">
            <v>0</v>
          </cell>
          <cell r="DO56">
            <v>0</v>
          </cell>
          <cell r="DP56">
            <v>0</v>
          </cell>
          <cell r="DQ56">
            <v>88218.785851086897</v>
          </cell>
          <cell r="DR56">
            <v>0</v>
          </cell>
          <cell r="DS56">
            <v>0</v>
          </cell>
          <cell r="DT56">
            <v>0</v>
          </cell>
          <cell r="DU56">
            <v>0</v>
          </cell>
          <cell r="DV56">
            <v>0</v>
          </cell>
          <cell r="DW56">
            <v>0</v>
          </cell>
          <cell r="DX56">
            <v>0</v>
          </cell>
          <cell r="DY56">
            <v>3267.8394424010521</v>
          </cell>
          <cell r="DZ56">
            <v>0</v>
          </cell>
          <cell r="EA56">
            <v>0</v>
          </cell>
          <cell r="EB56">
            <v>3267.8394424010521</v>
          </cell>
          <cell r="EE56">
            <v>0</v>
          </cell>
          <cell r="EH56">
            <v>0</v>
          </cell>
          <cell r="EI56">
            <v>0</v>
          </cell>
          <cell r="EK56">
            <v>0</v>
          </cell>
          <cell r="EL56">
            <v>6132</v>
          </cell>
          <cell r="EM56">
            <v>0</v>
          </cell>
          <cell r="EO56">
            <v>6132</v>
          </cell>
          <cell r="EP56">
            <v>35345.854678697651</v>
          </cell>
          <cell r="EQ56">
            <v>0</v>
          </cell>
          <cell r="ER56">
            <v>1295019.8763014087</v>
          </cell>
          <cell r="ET56">
            <v>304</v>
          </cell>
          <cell r="EU56">
            <v>4259.9338036230547</v>
          </cell>
          <cell r="EV56" t="str">
            <v>No Variation Applied</v>
          </cell>
          <cell r="EW56">
            <v>27500</v>
          </cell>
          <cell r="EX56">
            <v>0</v>
          </cell>
          <cell r="EY56">
            <v>0</v>
          </cell>
          <cell r="EZ56">
            <v>302731.32692344603</v>
          </cell>
        </row>
        <row r="57">
          <cell r="C57" t="str">
            <v>Portway Infant School</v>
          </cell>
          <cell r="D57">
            <v>2439</v>
          </cell>
          <cell r="F57" t="str">
            <v/>
          </cell>
          <cell r="G57">
            <v>0</v>
          </cell>
          <cell r="H57">
            <v>0</v>
          </cell>
          <cell r="I57">
            <v>0</v>
          </cell>
          <cell r="J57">
            <v>0</v>
          </cell>
          <cell r="L57">
            <v>0</v>
          </cell>
          <cell r="M57">
            <v>0</v>
          </cell>
          <cell r="N57">
            <v>0</v>
          </cell>
          <cell r="S57">
            <v>0</v>
          </cell>
          <cell r="T57">
            <v>0</v>
          </cell>
          <cell r="U57">
            <v>78</v>
          </cell>
          <cell r="Y57">
            <v>75</v>
          </cell>
          <cell r="Z57">
            <v>80</v>
          </cell>
          <cell r="AA57">
            <v>0</v>
          </cell>
          <cell r="AB57">
            <v>0</v>
          </cell>
          <cell r="AC57">
            <v>0</v>
          </cell>
          <cell r="AD57">
            <v>0</v>
          </cell>
          <cell r="AK57">
            <v>606529.87926005188</v>
          </cell>
          <cell r="AL57">
            <v>233</v>
          </cell>
          <cell r="BS57">
            <v>0</v>
          </cell>
          <cell r="BT57">
            <v>0</v>
          </cell>
          <cell r="BU57">
            <v>0</v>
          </cell>
          <cell r="BV57">
            <v>0</v>
          </cell>
          <cell r="BW57">
            <v>0</v>
          </cell>
          <cell r="BX57">
            <v>0</v>
          </cell>
          <cell r="BY57">
            <v>0</v>
          </cell>
          <cell r="BZ57">
            <v>0</v>
          </cell>
          <cell r="CA57">
            <v>0</v>
          </cell>
          <cell r="CB57">
            <v>0</v>
          </cell>
          <cell r="CC57">
            <v>0</v>
          </cell>
          <cell r="CD57">
            <v>0</v>
          </cell>
          <cell r="CE57">
            <v>0</v>
          </cell>
          <cell r="CF57">
            <v>34020.916695056439</v>
          </cell>
          <cell r="CI57">
            <v>0</v>
          </cell>
          <cell r="CJ57">
            <v>0</v>
          </cell>
          <cell r="CK57">
            <v>4729.2</v>
          </cell>
          <cell r="CL57">
            <v>3262.6849368989333</v>
          </cell>
          <cell r="CM57">
            <v>42012.801631955372</v>
          </cell>
          <cell r="CQ57">
            <v>761.73095944609292</v>
          </cell>
          <cell r="CR57">
            <v>602.91</v>
          </cell>
          <cell r="CS57">
            <v>1414.5968210588128</v>
          </cell>
          <cell r="CT57">
            <v>2779.2377805049055</v>
          </cell>
          <cell r="CU57">
            <v>0</v>
          </cell>
          <cell r="CV57">
            <v>0</v>
          </cell>
          <cell r="CW57">
            <v>0</v>
          </cell>
          <cell r="CX57">
            <v>0</v>
          </cell>
          <cell r="CZ57">
            <v>0</v>
          </cell>
          <cell r="DC57">
            <v>0</v>
          </cell>
          <cell r="DD57">
            <v>16280.858164054447</v>
          </cell>
          <cell r="DE57">
            <v>3183.3400378953506</v>
          </cell>
          <cell r="DF57">
            <v>856.11742475261747</v>
          </cell>
          <cell r="DG57">
            <v>0</v>
          </cell>
          <cell r="DH57">
            <v>0</v>
          </cell>
          <cell r="DI57">
            <v>20320.315626702417</v>
          </cell>
          <cell r="DJ57">
            <v>0</v>
          </cell>
          <cell r="DK57">
            <v>7762.5</v>
          </cell>
          <cell r="DL57">
            <v>3128.03</v>
          </cell>
          <cell r="DM57">
            <v>70073.495851086889</v>
          </cell>
          <cell r="DN57">
            <v>0</v>
          </cell>
          <cell r="DO57">
            <v>0</v>
          </cell>
          <cell r="DP57">
            <v>0</v>
          </cell>
          <cell r="DQ57">
            <v>80964.025851086888</v>
          </cell>
          <cell r="DR57">
            <v>0</v>
          </cell>
          <cell r="DS57">
            <v>0</v>
          </cell>
          <cell r="DT57">
            <v>0</v>
          </cell>
          <cell r="DU57">
            <v>0</v>
          </cell>
          <cell r="DV57">
            <v>0</v>
          </cell>
          <cell r="DW57">
            <v>0</v>
          </cell>
          <cell r="DX57">
            <v>0</v>
          </cell>
          <cell r="DY57">
            <v>1960.7036654406311</v>
          </cell>
          <cell r="DZ57">
            <v>0</v>
          </cell>
          <cell r="EA57">
            <v>0</v>
          </cell>
          <cell r="EB57">
            <v>1960.7036654406311</v>
          </cell>
          <cell r="EE57">
            <v>0</v>
          </cell>
          <cell r="EH57">
            <v>0</v>
          </cell>
          <cell r="EI57">
            <v>0</v>
          </cell>
          <cell r="EK57">
            <v>0</v>
          </cell>
          <cell r="EL57">
            <v>0</v>
          </cell>
          <cell r="EM57">
            <v>0</v>
          </cell>
          <cell r="EO57">
            <v>0</v>
          </cell>
          <cell r="EP57">
            <v>0</v>
          </cell>
          <cell r="EQ57">
            <v>0</v>
          </cell>
          <cell r="ER57">
            <v>754566.96381574194</v>
          </cell>
          <cell r="ET57">
            <v>233</v>
          </cell>
          <cell r="EU57">
            <v>3238.4848232435274</v>
          </cell>
          <cell r="EV57" t="str">
            <v>No Variation Applied</v>
          </cell>
          <cell r="EW57">
            <v>9000</v>
          </cell>
          <cell r="EX57">
            <v>0</v>
          </cell>
          <cell r="EY57">
            <v>0</v>
          </cell>
          <cell r="EZ57">
            <v>30235.25155501988</v>
          </cell>
        </row>
        <row r="58">
          <cell r="C58" t="str">
            <v>Portway Junior School</v>
          </cell>
          <cell r="D58">
            <v>2440</v>
          </cell>
          <cell r="F58" t="str">
            <v/>
          </cell>
          <cell r="G58">
            <v>0</v>
          </cell>
          <cell r="H58">
            <v>0</v>
          </cell>
          <cell r="I58">
            <v>0</v>
          </cell>
          <cell r="J58">
            <v>0</v>
          </cell>
          <cell r="L58">
            <v>0</v>
          </cell>
          <cell r="M58">
            <v>0</v>
          </cell>
          <cell r="N58">
            <v>0</v>
          </cell>
          <cell r="S58">
            <v>0</v>
          </cell>
          <cell r="T58">
            <v>0</v>
          </cell>
          <cell r="U58">
            <v>0</v>
          </cell>
          <cell r="Y58">
            <v>0</v>
          </cell>
          <cell r="Z58">
            <v>0</v>
          </cell>
          <cell r="AA58">
            <v>79</v>
          </cell>
          <cell r="AB58">
            <v>53</v>
          </cell>
          <cell r="AC58">
            <v>78</v>
          </cell>
          <cell r="AD58">
            <v>62</v>
          </cell>
          <cell r="AK58">
            <v>698850.45103578374</v>
          </cell>
          <cell r="AL58">
            <v>272</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I58">
            <v>0</v>
          </cell>
          <cell r="CJ58">
            <v>0</v>
          </cell>
          <cell r="CK58">
            <v>5520.78</v>
          </cell>
          <cell r="CL58">
            <v>3812.878269418447</v>
          </cell>
          <cell r="CM58">
            <v>9333.6582694184472</v>
          </cell>
          <cell r="CQ58">
            <v>2285.1928783382787</v>
          </cell>
          <cell r="CR58">
            <v>1004.86</v>
          </cell>
          <cell r="CS58">
            <v>1010.4263007562949</v>
          </cell>
          <cell r="CT58">
            <v>4300.4791790945737</v>
          </cell>
          <cell r="CU58">
            <v>9009.7162530623336</v>
          </cell>
          <cell r="CV58">
            <v>0</v>
          </cell>
          <cell r="CW58">
            <v>9009.7162530623336</v>
          </cell>
          <cell r="CX58">
            <v>0</v>
          </cell>
          <cell r="CZ58">
            <v>0</v>
          </cell>
          <cell r="DC58">
            <v>0</v>
          </cell>
          <cell r="DD58">
            <v>29921.975738103691</v>
          </cell>
          <cell r="DE58">
            <v>5229.7729193995046</v>
          </cell>
          <cell r="DF58">
            <v>1712.2348495052349</v>
          </cell>
          <cell r="DG58">
            <v>0</v>
          </cell>
          <cell r="DH58">
            <v>0</v>
          </cell>
          <cell r="DI58">
            <v>36863.98350700843</v>
          </cell>
          <cell r="DJ58">
            <v>0</v>
          </cell>
          <cell r="DK58">
            <v>31831</v>
          </cell>
          <cell r="DL58">
            <v>3895.73</v>
          </cell>
          <cell r="DM58">
            <v>70073.495851086889</v>
          </cell>
          <cell r="DN58">
            <v>0</v>
          </cell>
          <cell r="DO58">
            <v>0</v>
          </cell>
          <cell r="DP58">
            <v>0</v>
          </cell>
          <cell r="DQ58">
            <v>105800.2258510869</v>
          </cell>
          <cell r="DR58">
            <v>0</v>
          </cell>
          <cell r="DS58">
            <v>0</v>
          </cell>
          <cell r="DT58">
            <v>0</v>
          </cell>
          <cell r="DU58">
            <v>0</v>
          </cell>
          <cell r="DV58">
            <v>0</v>
          </cell>
          <cell r="DW58">
            <v>0</v>
          </cell>
          <cell r="DX58">
            <v>0</v>
          </cell>
          <cell r="DY58">
            <v>1960.7036654406311</v>
          </cell>
          <cell r="DZ58">
            <v>0</v>
          </cell>
          <cell r="EA58">
            <v>0</v>
          </cell>
          <cell r="EB58">
            <v>1960.7036654406311</v>
          </cell>
          <cell r="EE58">
            <v>0</v>
          </cell>
          <cell r="EH58">
            <v>0</v>
          </cell>
          <cell r="EI58">
            <v>0</v>
          </cell>
          <cell r="EK58">
            <v>0</v>
          </cell>
          <cell r="EL58">
            <v>1752</v>
          </cell>
          <cell r="EM58">
            <v>0</v>
          </cell>
          <cell r="EO58">
            <v>1752</v>
          </cell>
          <cell r="EP58">
            <v>17164.025855861721</v>
          </cell>
          <cell r="EQ58">
            <v>0</v>
          </cell>
          <cell r="ER58">
            <v>885035.24361675675</v>
          </cell>
          <cell r="ET58">
            <v>272</v>
          </cell>
          <cell r="EU58">
            <v>3253.8060427086643</v>
          </cell>
          <cell r="EV58" t="str">
            <v>No Variation Applied</v>
          </cell>
          <cell r="EW58">
            <v>19800</v>
          </cell>
          <cell r="EX58">
            <v>0</v>
          </cell>
          <cell r="EY58">
            <v>0</v>
          </cell>
          <cell r="EZ58">
            <v>57303.42726788664</v>
          </cell>
        </row>
        <row r="59">
          <cell r="C59" t="str">
            <v>Alvaston Junior School</v>
          </cell>
          <cell r="D59">
            <v>2442</v>
          </cell>
          <cell r="F59" t="str">
            <v/>
          </cell>
          <cell r="G59">
            <v>0</v>
          </cell>
          <cell r="H59">
            <v>0</v>
          </cell>
          <cell r="I59">
            <v>0</v>
          </cell>
          <cell r="J59">
            <v>0</v>
          </cell>
          <cell r="L59">
            <v>0</v>
          </cell>
          <cell r="M59">
            <v>0</v>
          </cell>
          <cell r="N59">
            <v>0</v>
          </cell>
          <cell r="S59">
            <v>0</v>
          </cell>
          <cell r="T59">
            <v>0</v>
          </cell>
          <cell r="U59">
            <v>0</v>
          </cell>
          <cell r="Y59">
            <v>0</v>
          </cell>
          <cell r="Z59">
            <v>0</v>
          </cell>
          <cell r="AA59">
            <v>82</v>
          </cell>
          <cell r="AB59">
            <v>75</v>
          </cell>
          <cell r="AC59">
            <v>69</v>
          </cell>
          <cell r="AD59">
            <v>69</v>
          </cell>
          <cell r="AK59">
            <v>757944.42299836839</v>
          </cell>
          <cell r="AL59">
            <v>295</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I59">
            <v>0</v>
          </cell>
          <cell r="CJ59">
            <v>0</v>
          </cell>
          <cell r="CK59">
            <v>5987.61</v>
          </cell>
          <cell r="CL59">
            <v>2109.3950668099533</v>
          </cell>
          <cell r="CM59">
            <v>8097.005066809953</v>
          </cell>
          <cell r="CQ59">
            <v>6093.8476755687434</v>
          </cell>
          <cell r="CR59">
            <v>2612.63</v>
          </cell>
          <cell r="CS59">
            <v>4445.8757233276974</v>
          </cell>
          <cell r="CT59">
            <v>13152.353398896441</v>
          </cell>
          <cell r="CU59">
            <v>4254.5882306127687</v>
          </cell>
          <cell r="CV59">
            <v>9009.7162530623336</v>
          </cell>
          <cell r="CW59">
            <v>13264.304483675103</v>
          </cell>
          <cell r="CX59">
            <v>184491.52137222089</v>
          </cell>
          <cell r="CZ59">
            <v>184491.52137222089</v>
          </cell>
          <cell r="DC59">
            <v>0</v>
          </cell>
          <cell r="DD59">
            <v>113154.91367100524</v>
          </cell>
          <cell r="DE59">
            <v>93908.531117912833</v>
          </cell>
          <cell r="DF59">
            <v>8561.1742475261744</v>
          </cell>
          <cell r="DG59">
            <v>0</v>
          </cell>
          <cell r="DH59">
            <v>0</v>
          </cell>
          <cell r="DI59">
            <v>215624.61903644426</v>
          </cell>
          <cell r="DJ59">
            <v>0</v>
          </cell>
          <cell r="DK59">
            <v>13282</v>
          </cell>
          <cell r="DL59">
            <v>8271.5499999999993</v>
          </cell>
          <cell r="DM59">
            <v>70073.495851086889</v>
          </cell>
          <cell r="DN59">
            <v>0</v>
          </cell>
          <cell r="DO59">
            <v>0</v>
          </cell>
          <cell r="DP59">
            <v>0</v>
          </cell>
          <cell r="DQ59">
            <v>91627.045851086892</v>
          </cell>
          <cell r="DR59">
            <v>0</v>
          </cell>
          <cell r="DS59">
            <v>0</v>
          </cell>
          <cell r="DT59">
            <v>0</v>
          </cell>
          <cell r="DU59">
            <v>0</v>
          </cell>
          <cell r="DV59">
            <v>0</v>
          </cell>
          <cell r="DW59">
            <v>0</v>
          </cell>
          <cell r="DX59">
            <v>0</v>
          </cell>
          <cell r="DY59">
            <v>5882.1109963218933</v>
          </cell>
          <cell r="DZ59">
            <v>0</v>
          </cell>
          <cell r="EA59">
            <v>0</v>
          </cell>
          <cell r="EB59">
            <v>5882.1109963218933</v>
          </cell>
          <cell r="EE59">
            <v>0</v>
          </cell>
          <cell r="EH59">
            <v>0</v>
          </cell>
          <cell r="EI59">
            <v>0</v>
          </cell>
          <cell r="EK59">
            <v>0</v>
          </cell>
          <cell r="EL59">
            <v>0</v>
          </cell>
          <cell r="EM59">
            <v>0</v>
          </cell>
          <cell r="EO59">
            <v>0</v>
          </cell>
          <cell r="EP59">
            <v>0</v>
          </cell>
          <cell r="EQ59">
            <v>0</v>
          </cell>
          <cell r="ER59">
            <v>1290083.3832038238</v>
          </cell>
          <cell r="ET59">
            <v>295</v>
          </cell>
          <cell r="EU59">
            <v>4373.1640108604197</v>
          </cell>
          <cell r="EV59" t="str">
            <v>No Variation Applied</v>
          </cell>
          <cell r="EW59">
            <v>66850</v>
          </cell>
          <cell r="EX59">
            <v>0</v>
          </cell>
          <cell r="EY59">
            <v>0</v>
          </cell>
          <cell r="EZ59">
            <v>346433.95629048627</v>
          </cell>
        </row>
        <row r="60">
          <cell r="C60" t="str">
            <v>Alvaston Infant and Nursery School</v>
          </cell>
          <cell r="D60">
            <v>2443</v>
          </cell>
          <cell r="F60" t="str">
            <v/>
          </cell>
          <cell r="G60">
            <v>0</v>
          </cell>
          <cell r="H60">
            <v>29190</v>
          </cell>
          <cell r="I60">
            <v>0</v>
          </cell>
          <cell r="J60">
            <v>0</v>
          </cell>
          <cell r="L60">
            <v>102060.82793781464</v>
          </cell>
          <cell r="M60">
            <v>29190</v>
          </cell>
          <cell r="N60">
            <v>30.726315789473684</v>
          </cell>
          <cell r="S60">
            <v>0</v>
          </cell>
          <cell r="T60">
            <v>0</v>
          </cell>
          <cell r="U60">
            <v>90</v>
          </cell>
          <cell r="Y60">
            <v>90</v>
          </cell>
          <cell r="Z60">
            <v>82</v>
          </cell>
          <cell r="AA60">
            <v>0</v>
          </cell>
          <cell r="AB60">
            <v>0</v>
          </cell>
          <cell r="AC60">
            <v>0</v>
          </cell>
          <cell r="AD60">
            <v>0</v>
          </cell>
          <cell r="AK60">
            <v>683066.83566317311</v>
          </cell>
          <cell r="AL60">
            <v>262</v>
          </cell>
          <cell r="BS60">
            <v>9284.16</v>
          </cell>
          <cell r="BT60">
            <v>0</v>
          </cell>
          <cell r="BU60">
            <v>0</v>
          </cell>
          <cell r="BV60">
            <v>0</v>
          </cell>
          <cell r="BW60">
            <v>0</v>
          </cell>
          <cell r="BX60">
            <v>-4287.4839999999967</v>
          </cell>
          <cell r="BY60">
            <v>0</v>
          </cell>
          <cell r="BZ60">
            <v>1003.8498</v>
          </cell>
          <cell r="CA60">
            <v>0</v>
          </cell>
          <cell r="CB60">
            <v>0</v>
          </cell>
          <cell r="CC60">
            <v>0</v>
          </cell>
          <cell r="CD60">
            <v>0</v>
          </cell>
          <cell r="CE60">
            <v>6000.5258000000031</v>
          </cell>
          <cell r="CF60">
            <v>34020.916695056439</v>
          </cell>
          <cell r="CI60">
            <v>0</v>
          </cell>
          <cell r="CJ60">
            <v>0</v>
          </cell>
          <cell r="CK60">
            <v>5317.81</v>
          </cell>
          <cell r="CL60">
            <v>2076.6912673245274</v>
          </cell>
          <cell r="CM60">
            <v>41415.417962380961</v>
          </cell>
          <cell r="CQ60">
            <v>761.73095944609292</v>
          </cell>
          <cell r="CR60">
            <v>2813.6</v>
          </cell>
          <cell r="CS60">
            <v>5052.1315037814747</v>
          </cell>
          <cell r="CT60">
            <v>8627.4624632275682</v>
          </cell>
          <cell r="CU60">
            <v>13014.034587756705</v>
          </cell>
          <cell r="CV60">
            <v>0</v>
          </cell>
          <cell r="CW60">
            <v>13014.034587756705</v>
          </cell>
          <cell r="CX60">
            <v>0</v>
          </cell>
          <cell r="CZ60">
            <v>0</v>
          </cell>
          <cell r="DC60">
            <v>0</v>
          </cell>
          <cell r="DD60">
            <v>90532.779229284657</v>
          </cell>
          <cell r="DE60">
            <v>79810.882378662005</v>
          </cell>
          <cell r="DF60">
            <v>5136.704548515705</v>
          </cell>
          <cell r="DG60">
            <v>0</v>
          </cell>
          <cell r="DH60">
            <v>0</v>
          </cell>
          <cell r="DI60">
            <v>175480.36615646238</v>
          </cell>
          <cell r="DJ60">
            <v>0</v>
          </cell>
          <cell r="DK60">
            <v>13282</v>
          </cell>
          <cell r="DL60">
            <v>3171.21</v>
          </cell>
          <cell r="DM60">
            <v>70073.495851086889</v>
          </cell>
          <cell r="DN60">
            <v>0</v>
          </cell>
          <cell r="DO60">
            <v>0</v>
          </cell>
          <cell r="DP60">
            <v>0</v>
          </cell>
          <cell r="DQ60">
            <v>86526.705851086881</v>
          </cell>
          <cell r="DR60">
            <v>0</v>
          </cell>
          <cell r="DS60">
            <v>0</v>
          </cell>
          <cell r="DT60">
            <v>0</v>
          </cell>
          <cell r="DU60">
            <v>0</v>
          </cell>
          <cell r="DV60">
            <v>0</v>
          </cell>
          <cell r="DW60">
            <v>0</v>
          </cell>
          <cell r="DX60">
            <v>0</v>
          </cell>
          <cell r="DY60">
            <v>2941.0554981609466</v>
          </cell>
          <cell r="DZ60">
            <v>0</v>
          </cell>
          <cell r="EA60">
            <v>0</v>
          </cell>
          <cell r="EB60">
            <v>2941.0554981609466</v>
          </cell>
          <cell r="EE60">
            <v>0</v>
          </cell>
          <cell r="EH60">
            <v>0</v>
          </cell>
          <cell r="EI60">
            <v>0</v>
          </cell>
          <cell r="EK60">
            <v>0</v>
          </cell>
          <cell r="EL60">
            <v>4254</v>
          </cell>
          <cell r="EM60">
            <v>0</v>
          </cell>
          <cell r="EO60">
            <v>4254</v>
          </cell>
          <cell r="EP60">
            <v>0</v>
          </cell>
          <cell r="EQ60">
            <v>108061.35373781464</v>
          </cell>
          <cell r="ER60">
            <v>1123387.231920063</v>
          </cell>
          <cell r="ET60">
            <v>292.72631578947369</v>
          </cell>
          <cell r="EU60">
            <v>3837.6707911973099</v>
          </cell>
          <cell r="EV60" t="str">
            <v>No Variation Applied</v>
          </cell>
          <cell r="EW60">
            <v>38050</v>
          </cell>
          <cell r="EX60">
            <v>0</v>
          </cell>
          <cell r="EY60">
            <v>0</v>
          </cell>
          <cell r="EZ60">
            <v>127193.05939323893</v>
          </cell>
        </row>
        <row r="61">
          <cell r="C61" t="str">
            <v>Shelton Infant School</v>
          </cell>
          <cell r="D61">
            <v>2444</v>
          </cell>
          <cell r="F61" t="str">
            <v/>
          </cell>
          <cell r="G61">
            <v>0</v>
          </cell>
          <cell r="H61">
            <v>29568</v>
          </cell>
          <cell r="I61">
            <v>0</v>
          </cell>
          <cell r="J61">
            <v>0</v>
          </cell>
          <cell r="L61">
            <v>103382.4789470813</v>
          </cell>
          <cell r="M61">
            <v>29568</v>
          </cell>
          <cell r="N61">
            <v>31.124210526315789</v>
          </cell>
          <cell r="S61">
            <v>0</v>
          </cell>
          <cell r="T61">
            <v>0</v>
          </cell>
          <cell r="U61">
            <v>70</v>
          </cell>
          <cell r="Y61">
            <v>70</v>
          </cell>
          <cell r="Z61">
            <v>69</v>
          </cell>
          <cell r="AA61">
            <v>0</v>
          </cell>
          <cell r="AB61">
            <v>0</v>
          </cell>
          <cell r="AC61">
            <v>0</v>
          </cell>
          <cell r="AD61">
            <v>0</v>
          </cell>
          <cell r="AK61">
            <v>544070.3706695314</v>
          </cell>
          <cell r="AL61">
            <v>209</v>
          </cell>
          <cell r="BS61">
            <v>10583.942400000002</v>
          </cell>
          <cell r="BT61">
            <v>0</v>
          </cell>
          <cell r="BU61">
            <v>464.20800000000003</v>
          </cell>
          <cell r="BV61">
            <v>0</v>
          </cell>
          <cell r="BW61">
            <v>0</v>
          </cell>
          <cell r="BX61">
            <v>-4943.4777999999933</v>
          </cell>
          <cell r="BY61">
            <v>0</v>
          </cell>
          <cell r="BZ61">
            <v>2007.6995999999999</v>
          </cell>
          <cell r="CA61">
            <v>0</v>
          </cell>
          <cell r="CB61">
            <v>0</v>
          </cell>
          <cell r="CC61">
            <v>0</v>
          </cell>
          <cell r="CD61">
            <v>0</v>
          </cell>
          <cell r="CE61">
            <v>8112.3722000000089</v>
          </cell>
          <cell r="CF61">
            <v>34020.916695056439</v>
          </cell>
          <cell r="CI61">
            <v>0</v>
          </cell>
          <cell r="CJ61">
            <v>0</v>
          </cell>
          <cell r="CK61">
            <v>4242.07</v>
          </cell>
          <cell r="CL61">
            <v>2500.878784179607</v>
          </cell>
          <cell r="CM61">
            <v>40763.865479236047</v>
          </cell>
          <cell r="CQ61">
            <v>2285.1928783382787</v>
          </cell>
          <cell r="CR61">
            <v>2009.71</v>
          </cell>
          <cell r="CS61">
            <v>4041.7052030251798</v>
          </cell>
          <cell r="CT61">
            <v>8336.608081363458</v>
          </cell>
          <cell r="CU61">
            <v>8759.4463571439355</v>
          </cell>
          <cell r="CV61">
            <v>0</v>
          </cell>
          <cell r="CW61">
            <v>8759.4463571439355</v>
          </cell>
          <cell r="CX61">
            <v>0</v>
          </cell>
          <cell r="CZ61">
            <v>0</v>
          </cell>
          <cell r="DC61">
            <v>0</v>
          </cell>
          <cell r="DD61">
            <v>64194.361945769037</v>
          </cell>
          <cell r="DE61">
            <v>77309.68663460137</v>
          </cell>
          <cell r="DF61">
            <v>6848.9393980209397</v>
          </cell>
          <cell r="DG61">
            <v>0</v>
          </cell>
          <cell r="DH61">
            <v>0</v>
          </cell>
          <cell r="DI61">
            <v>148352.98797839135</v>
          </cell>
          <cell r="DJ61">
            <v>0</v>
          </cell>
          <cell r="DK61">
            <v>8816.5</v>
          </cell>
          <cell r="DL61">
            <v>3174.66</v>
          </cell>
          <cell r="DM61">
            <v>70073.495851086889</v>
          </cell>
          <cell r="DN61">
            <v>0</v>
          </cell>
          <cell r="DO61">
            <v>0</v>
          </cell>
          <cell r="DP61">
            <v>0</v>
          </cell>
          <cell r="DQ61">
            <v>82064.655851086893</v>
          </cell>
          <cell r="DR61">
            <v>0</v>
          </cell>
          <cell r="DS61">
            <v>0</v>
          </cell>
          <cell r="DT61">
            <v>0</v>
          </cell>
          <cell r="DU61">
            <v>0</v>
          </cell>
          <cell r="DV61">
            <v>0</v>
          </cell>
          <cell r="DW61">
            <v>0</v>
          </cell>
          <cell r="DX61">
            <v>0</v>
          </cell>
          <cell r="DY61">
            <v>1960.7036654406311</v>
          </cell>
          <cell r="DZ61">
            <v>0</v>
          </cell>
          <cell r="EA61">
            <v>0</v>
          </cell>
          <cell r="EB61">
            <v>1960.7036654406311</v>
          </cell>
          <cell r="EE61">
            <v>0</v>
          </cell>
          <cell r="EH61">
            <v>0</v>
          </cell>
          <cell r="EI61">
            <v>0</v>
          </cell>
          <cell r="EK61">
            <v>0</v>
          </cell>
          <cell r="EL61">
            <v>25466</v>
          </cell>
          <cell r="EM61">
            <v>0</v>
          </cell>
          <cell r="EO61">
            <v>25466</v>
          </cell>
          <cell r="EP61">
            <v>0</v>
          </cell>
          <cell r="EQ61">
            <v>111494.85114708131</v>
          </cell>
          <cell r="ER61">
            <v>971269.48922927491</v>
          </cell>
          <cell r="ET61">
            <v>240.12421052631578</v>
          </cell>
          <cell r="EU61">
            <v>4044.8628112109136</v>
          </cell>
          <cell r="EV61" t="str">
            <v>No Variation Applied</v>
          </cell>
          <cell r="EW61">
            <v>29900</v>
          </cell>
          <cell r="EX61">
            <v>0</v>
          </cell>
          <cell r="EY61">
            <v>0</v>
          </cell>
          <cell r="EZ61">
            <v>97296.539313970992</v>
          </cell>
        </row>
        <row r="62">
          <cell r="C62" t="str">
            <v>Breadsall Hill Top Infant &amp; Nursery School</v>
          </cell>
          <cell r="D62">
            <v>2446</v>
          </cell>
          <cell r="F62" t="str">
            <v/>
          </cell>
          <cell r="G62">
            <v>0</v>
          </cell>
          <cell r="H62">
            <v>29640</v>
          </cell>
          <cell r="I62">
            <v>0</v>
          </cell>
          <cell r="J62">
            <v>0</v>
          </cell>
          <cell r="L62">
            <v>103634.22199646542</v>
          </cell>
          <cell r="M62">
            <v>29640</v>
          </cell>
          <cell r="N62">
            <v>31.2</v>
          </cell>
          <cell r="S62">
            <v>0</v>
          </cell>
          <cell r="T62">
            <v>0</v>
          </cell>
          <cell r="U62">
            <v>53</v>
          </cell>
          <cell r="Y62">
            <v>54</v>
          </cell>
          <cell r="Z62">
            <v>59</v>
          </cell>
          <cell r="AA62">
            <v>0</v>
          </cell>
          <cell r="AB62">
            <v>0</v>
          </cell>
          <cell r="AC62">
            <v>0</v>
          </cell>
          <cell r="AD62">
            <v>0</v>
          </cell>
          <cell r="AK62">
            <v>430946.55089485773</v>
          </cell>
          <cell r="AL62">
            <v>166</v>
          </cell>
          <cell r="BS62">
            <v>10792.835999999999</v>
          </cell>
          <cell r="BT62">
            <v>0</v>
          </cell>
          <cell r="BU62">
            <v>464.20800000000003</v>
          </cell>
          <cell r="BV62">
            <v>0</v>
          </cell>
          <cell r="BW62">
            <v>0</v>
          </cell>
          <cell r="BX62">
            <v>-3324.639599999995</v>
          </cell>
          <cell r="BY62">
            <v>0</v>
          </cell>
          <cell r="BZ62">
            <v>3011.5493999999999</v>
          </cell>
          <cell r="CA62">
            <v>0</v>
          </cell>
          <cell r="CB62">
            <v>0</v>
          </cell>
          <cell r="CC62">
            <v>0</v>
          </cell>
          <cell r="CD62">
            <v>0</v>
          </cell>
          <cell r="CE62">
            <v>10943.953800000005</v>
          </cell>
          <cell r="CF62">
            <v>22680.611130037629</v>
          </cell>
          <cell r="CI62">
            <v>0</v>
          </cell>
          <cell r="CJ62">
            <v>0</v>
          </cell>
          <cell r="CK62">
            <v>3369.3</v>
          </cell>
          <cell r="CL62">
            <v>996.50400785002796</v>
          </cell>
          <cell r="CM62">
            <v>27046.415137887656</v>
          </cell>
          <cell r="CQ62">
            <v>4570.3857566765573</v>
          </cell>
          <cell r="CR62">
            <v>2210.69</v>
          </cell>
          <cell r="CS62">
            <v>2222.9378616638487</v>
          </cell>
          <cell r="CT62">
            <v>9004.0136183404065</v>
          </cell>
          <cell r="CU62">
            <v>4805.1820016332449</v>
          </cell>
          <cell r="CV62">
            <v>0</v>
          </cell>
          <cell r="CW62">
            <v>4805.1820016332449</v>
          </cell>
          <cell r="CX62">
            <v>0</v>
          </cell>
          <cell r="CZ62">
            <v>0</v>
          </cell>
          <cell r="DC62">
            <v>0</v>
          </cell>
          <cell r="DD62">
            <v>71966.11217444358</v>
          </cell>
          <cell r="DE62">
            <v>60483.460720011659</v>
          </cell>
          <cell r="DF62">
            <v>5992.8219732683219</v>
          </cell>
          <cell r="DG62">
            <v>0</v>
          </cell>
          <cell r="DH62">
            <v>0</v>
          </cell>
          <cell r="DI62">
            <v>138442.39486772355</v>
          </cell>
          <cell r="DJ62">
            <v>0</v>
          </cell>
          <cell r="DK62">
            <v>8473</v>
          </cell>
          <cell r="DL62">
            <v>2753.52</v>
          </cell>
          <cell r="DM62">
            <v>74722.185859261808</v>
          </cell>
          <cell r="DN62">
            <v>0</v>
          </cell>
          <cell r="DO62">
            <v>0</v>
          </cell>
          <cell r="DP62">
            <v>0</v>
          </cell>
          <cell r="DQ62">
            <v>85948.705859261812</v>
          </cell>
          <cell r="DR62">
            <v>0</v>
          </cell>
          <cell r="DS62">
            <v>0</v>
          </cell>
          <cell r="DT62">
            <v>0</v>
          </cell>
          <cell r="DU62">
            <v>0</v>
          </cell>
          <cell r="DV62">
            <v>0</v>
          </cell>
          <cell r="DW62">
            <v>0</v>
          </cell>
          <cell r="DX62">
            <v>0</v>
          </cell>
          <cell r="DY62">
            <v>2941.0554981609466</v>
          </cell>
          <cell r="DZ62">
            <v>0</v>
          </cell>
          <cell r="EA62">
            <v>0</v>
          </cell>
          <cell r="EB62">
            <v>2941.0554981609466</v>
          </cell>
          <cell r="EE62">
            <v>0</v>
          </cell>
          <cell r="EH62">
            <v>0</v>
          </cell>
          <cell r="EI62">
            <v>0</v>
          </cell>
          <cell r="EK62">
            <v>0</v>
          </cell>
          <cell r="EL62">
            <v>0</v>
          </cell>
          <cell r="EM62">
            <v>0</v>
          </cell>
          <cell r="EO62">
            <v>0</v>
          </cell>
          <cell r="EP62">
            <v>0</v>
          </cell>
          <cell r="EQ62">
            <v>114578.17579646542</v>
          </cell>
          <cell r="ER62">
            <v>813712.49367433088</v>
          </cell>
          <cell r="ET62">
            <v>197.2</v>
          </cell>
          <cell r="EU62">
            <v>4126.3311038252077</v>
          </cell>
          <cell r="EV62" t="str">
            <v>No Variation Applied</v>
          </cell>
          <cell r="EW62">
            <v>30150</v>
          </cell>
          <cell r="EX62">
            <v>0</v>
          </cell>
          <cell r="EY62">
            <v>0</v>
          </cell>
          <cell r="EZ62">
            <v>102924.6940859858</v>
          </cell>
        </row>
        <row r="63">
          <cell r="C63" t="str">
            <v>Breadsall Hill Top Junior School</v>
          </cell>
          <cell r="D63">
            <v>2447</v>
          </cell>
          <cell r="F63" t="str">
            <v/>
          </cell>
          <cell r="G63">
            <v>0</v>
          </cell>
          <cell r="H63">
            <v>0</v>
          </cell>
          <cell r="I63">
            <v>0</v>
          </cell>
          <cell r="J63">
            <v>0</v>
          </cell>
          <cell r="L63">
            <v>0</v>
          </cell>
          <cell r="M63">
            <v>0</v>
          </cell>
          <cell r="N63">
            <v>0</v>
          </cell>
          <cell r="S63">
            <v>0</v>
          </cell>
          <cell r="T63">
            <v>0</v>
          </cell>
          <cell r="U63">
            <v>0</v>
          </cell>
          <cell r="Y63">
            <v>0</v>
          </cell>
          <cell r="Z63">
            <v>0</v>
          </cell>
          <cell r="AA63">
            <v>54</v>
          </cell>
          <cell r="AB63">
            <v>56</v>
          </cell>
          <cell r="AC63">
            <v>46</v>
          </cell>
          <cell r="AD63">
            <v>57</v>
          </cell>
          <cell r="AK63">
            <v>547261.56643611006</v>
          </cell>
          <cell r="AL63">
            <v>213</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I63">
            <v>0</v>
          </cell>
          <cell r="CJ63">
            <v>0</v>
          </cell>
          <cell r="CK63">
            <v>4323.26</v>
          </cell>
          <cell r="CL63">
            <v>2019.9405564527594</v>
          </cell>
          <cell r="CM63">
            <v>6343.2005564527599</v>
          </cell>
          <cell r="CQ63">
            <v>3046.9238377843717</v>
          </cell>
          <cell r="CR63">
            <v>1607.77</v>
          </cell>
          <cell r="CS63">
            <v>2425.0231218151075</v>
          </cell>
          <cell r="CT63">
            <v>7079.7169595994792</v>
          </cell>
          <cell r="CU63">
            <v>0</v>
          </cell>
          <cell r="CV63">
            <v>0</v>
          </cell>
          <cell r="CW63">
            <v>0</v>
          </cell>
          <cell r="CX63">
            <v>0</v>
          </cell>
          <cell r="CZ63">
            <v>0</v>
          </cell>
          <cell r="DC63">
            <v>0</v>
          </cell>
          <cell r="DD63">
            <v>91373.367014928779</v>
          </cell>
          <cell r="DE63">
            <v>76400.160909488404</v>
          </cell>
          <cell r="DF63">
            <v>10273.40909703141</v>
          </cell>
          <cell r="DG63">
            <v>0</v>
          </cell>
          <cell r="DH63">
            <v>0</v>
          </cell>
          <cell r="DI63">
            <v>178046.93702144857</v>
          </cell>
          <cell r="DJ63">
            <v>0</v>
          </cell>
          <cell r="DK63">
            <v>8473</v>
          </cell>
          <cell r="DL63">
            <v>4015.17</v>
          </cell>
          <cell r="DM63">
            <v>70073.495851086889</v>
          </cell>
          <cell r="DN63">
            <v>0</v>
          </cell>
          <cell r="DO63">
            <v>0</v>
          </cell>
          <cell r="DP63">
            <v>0</v>
          </cell>
          <cell r="DQ63">
            <v>82561.665851086887</v>
          </cell>
          <cell r="DR63">
            <v>0</v>
          </cell>
          <cell r="DS63">
            <v>0</v>
          </cell>
          <cell r="DT63">
            <v>0</v>
          </cell>
          <cell r="DU63">
            <v>0</v>
          </cell>
          <cell r="DV63">
            <v>0</v>
          </cell>
          <cell r="DW63">
            <v>0</v>
          </cell>
          <cell r="DX63">
            <v>0</v>
          </cell>
          <cell r="DY63">
            <v>2614.2715539208416</v>
          </cell>
          <cell r="DZ63">
            <v>0</v>
          </cell>
          <cell r="EA63">
            <v>0</v>
          </cell>
          <cell r="EB63">
            <v>2614.2715539208416</v>
          </cell>
          <cell r="EE63">
            <v>0</v>
          </cell>
          <cell r="EH63">
            <v>0</v>
          </cell>
          <cell r="EI63">
            <v>0</v>
          </cell>
          <cell r="EK63">
            <v>0</v>
          </cell>
          <cell r="EL63">
            <v>1001</v>
          </cell>
          <cell r="EM63">
            <v>0</v>
          </cell>
          <cell r="EO63">
            <v>1001</v>
          </cell>
          <cell r="EP63">
            <v>9044.6920742323855</v>
          </cell>
          <cell r="EQ63">
            <v>0</v>
          </cell>
          <cell r="ER63">
            <v>833953.05045285088</v>
          </cell>
          <cell r="ET63">
            <v>213</v>
          </cell>
          <cell r="EU63">
            <v>3915.2725373373282</v>
          </cell>
          <cell r="EV63" t="str">
            <v>No Variation Applied</v>
          </cell>
          <cell r="EW63">
            <v>55200</v>
          </cell>
          <cell r="EX63">
            <v>0</v>
          </cell>
          <cell r="EY63">
            <v>0</v>
          </cell>
          <cell r="EZ63">
            <v>117849.79461826822</v>
          </cell>
        </row>
        <row r="64">
          <cell r="C64" t="str">
            <v>Cavendish Close Junior School</v>
          </cell>
          <cell r="D64">
            <v>2448</v>
          </cell>
          <cell r="F64" t="str">
            <v/>
          </cell>
          <cell r="G64">
            <v>0</v>
          </cell>
          <cell r="H64">
            <v>0</v>
          </cell>
          <cell r="I64">
            <v>0</v>
          </cell>
          <cell r="J64">
            <v>0</v>
          </cell>
          <cell r="L64">
            <v>0</v>
          </cell>
          <cell r="M64">
            <v>0</v>
          </cell>
          <cell r="N64">
            <v>0</v>
          </cell>
          <cell r="S64">
            <v>0</v>
          </cell>
          <cell r="T64">
            <v>0</v>
          </cell>
          <cell r="U64">
            <v>0</v>
          </cell>
          <cell r="Y64">
            <v>0</v>
          </cell>
          <cell r="Z64">
            <v>0</v>
          </cell>
          <cell r="AA64">
            <v>77</v>
          </cell>
          <cell r="AB64">
            <v>71</v>
          </cell>
          <cell r="AC64">
            <v>80</v>
          </cell>
          <cell r="AD64">
            <v>90</v>
          </cell>
          <cell r="AK64">
            <v>817038.39496095316</v>
          </cell>
          <cell r="AL64">
            <v>318</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I64">
            <v>0</v>
          </cell>
          <cell r="CJ64">
            <v>0</v>
          </cell>
          <cell r="CK64">
            <v>6454.45</v>
          </cell>
          <cell r="CL64">
            <v>3143.4122564226755</v>
          </cell>
          <cell r="CM64">
            <v>9597.8622564226753</v>
          </cell>
          <cell r="CQ64">
            <v>3808.6547972304647</v>
          </cell>
          <cell r="CR64">
            <v>2411.66</v>
          </cell>
          <cell r="CS64">
            <v>808.34104060503591</v>
          </cell>
          <cell r="CT64">
            <v>7028.6558378355012</v>
          </cell>
          <cell r="CU64">
            <v>18144.567454083866</v>
          </cell>
          <cell r="CV64">
            <v>0</v>
          </cell>
          <cell r="CW64">
            <v>18144.567454083866</v>
          </cell>
          <cell r="CX64">
            <v>0</v>
          </cell>
          <cell r="CZ64">
            <v>0</v>
          </cell>
          <cell r="DC64">
            <v>0</v>
          </cell>
          <cell r="DD64">
            <v>89987.134526322698</v>
          </cell>
          <cell r="DE64">
            <v>48659.626293543217</v>
          </cell>
          <cell r="DF64">
            <v>5992.8219732683219</v>
          </cell>
          <cell r="DG64">
            <v>0</v>
          </cell>
          <cell r="DH64">
            <v>0</v>
          </cell>
          <cell r="DI64">
            <v>144639.58279313424</v>
          </cell>
          <cell r="DJ64">
            <v>0</v>
          </cell>
          <cell r="DK64">
            <v>16373.5</v>
          </cell>
          <cell r="DL64">
            <v>5743.66</v>
          </cell>
          <cell r="DM64">
            <v>70073.495851086889</v>
          </cell>
          <cell r="DN64">
            <v>0</v>
          </cell>
          <cell r="DO64">
            <v>0</v>
          </cell>
          <cell r="DP64">
            <v>0</v>
          </cell>
          <cell r="DQ64">
            <v>92190.655851086893</v>
          </cell>
          <cell r="DR64">
            <v>0</v>
          </cell>
          <cell r="DS64">
            <v>0</v>
          </cell>
          <cell r="DT64">
            <v>0</v>
          </cell>
          <cell r="DU64">
            <v>0</v>
          </cell>
          <cell r="DV64">
            <v>0</v>
          </cell>
          <cell r="DW64">
            <v>0</v>
          </cell>
          <cell r="DX64">
            <v>0</v>
          </cell>
          <cell r="DY64">
            <v>2287.4876096807366</v>
          </cell>
          <cell r="DZ64">
            <v>0</v>
          </cell>
          <cell r="EA64">
            <v>0</v>
          </cell>
          <cell r="EB64">
            <v>2287.4876096807366</v>
          </cell>
          <cell r="EE64">
            <v>0</v>
          </cell>
          <cell r="EH64">
            <v>0</v>
          </cell>
          <cell r="EI64">
            <v>0</v>
          </cell>
          <cell r="EK64">
            <v>0</v>
          </cell>
          <cell r="EL64">
            <v>0</v>
          </cell>
          <cell r="EM64">
            <v>0</v>
          </cell>
          <cell r="EO64">
            <v>0</v>
          </cell>
          <cell r="EP64">
            <v>19394.120072483551</v>
          </cell>
          <cell r="EQ64">
            <v>0</v>
          </cell>
          <cell r="ER64">
            <v>1110321.3268356805</v>
          </cell>
          <cell r="ET64">
            <v>318</v>
          </cell>
          <cell r="EU64">
            <v>3491.5764994832721</v>
          </cell>
          <cell r="EV64" t="str">
            <v>No Variation Applied</v>
          </cell>
          <cell r="EW64">
            <v>58200</v>
          </cell>
          <cell r="EX64">
            <v>0</v>
          </cell>
          <cell r="EY64">
            <v>0</v>
          </cell>
          <cell r="EZ64">
            <v>135970.49016548606</v>
          </cell>
        </row>
        <row r="65">
          <cell r="C65" t="str">
            <v>Cavendish Close Infant School</v>
          </cell>
          <cell r="D65">
            <v>2449</v>
          </cell>
          <cell r="F65" t="str">
            <v/>
          </cell>
          <cell r="G65">
            <v>0</v>
          </cell>
          <cell r="H65">
            <v>44280</v>
          </cell>
          <cell r="I65">
            <v>0</v>
          </cell>
          <cell r="J65">
            <v>0</v>
          </cell>
          <cell r="L65">
            <v>154821.97537123782</v>
          </cell>
          <cell r="M65">
            <v>44280</v>
          </cell>
          <cell r="N65">
            <v>46.610526315789471</v>
          </cell>
          <cell r="S65">
            <v>0</v>
          </cell>
          <cell r="T65">
            <v>0</v>
          </cell>
          <cell r="U65">
            <v>90</v>
          </cell>
          <cell r="Y65">
            <v>82</v>
          </cell>
          <cell r="Z65">
            <v>88</v>
          </cell>
          <cell r="AA65">
            <v>0</v>
          </cell>
          <cell r="AB65">
            <v>0</v>
          </cell>
          <cell r="AC65">
            <v>0</v>
          </cell>
          <cell r="AD65">
            <v>0</v>
          </cell>
          <cell r="AK65">
            <v>678166.17666812742</v>
          </cell>
          <cell r="AL65">
            <v>260</v>
          </cell>
          <cell r="BS65">
            <v>4642.08</v>
          </cell>
          <cell r="BT65">
            <v>0</v>
          </cell>
          <cell r="BU65">
            <v>348.15600000000001</v>
          </cell>
          <cell r="BV65">
            <v>0</v>
          </cell>
          <cell r="BW65">
            <v>0</v>
          </cell>
          <cell r="BX65">
            <v>-7216.5017999999982</v>
          </cell>
          <cell r="BY65">
            <v>0</v>
          </cell>
          <cell r="BZ65">
            <v>4015.3991999999998</v>
          </cell>
          <cell r="CA65">
            <v>0</v>
          </cell>
          <cell r="CB65">
            <v>0</v>
          </cell>
          <cell r="CC65">
            <v>0</v>
          </cell>
          <cell r="CD65">
            <v>0</v>
          </cell>
          <cell r="CE65">
            <v>1789.1334000000015</v>
          </cell>
          <cell r="CF65">
            <v>34020.916695056439</v>
          </cell>
          <cell r="CI65">
            <v>0</v>
          </cell>
          <cell r="CJ65">
            <v>0</v>
          </cell>
          <cell r="CK65">
            <v>5277.22</v>
          </cell>
          <cell r="CL65">
            <v>2962.5794827973805</v>
          </cell>
          <cell r="CM65">
            <v>42260.716177853821</v>
          </cell>
          <cell r="CQ65">
            <v>7617.3095944609295</v>
          </cell>
          <cell r="CR65">
            <v>2210.69</v>
          </cell>
          <cell r="CS65">
            <v>2020.8526015125899</v>
          </cell>
          <cell r="CT65">
            <v>11848.852195973519</v>
          </cell>
          <cell r="CU65">
            <v>4379.7231785719678</v>
          </cell>
          <cell r="CV65">
            <v>0</v>
          </cell>
          <cell r="CW65">
            <v>4379.7231785719678</v>
          </cell>
          <cell r="CX65">
            <v>0</v>
          </cell>
          <cell r="CZ65">
            <v>0</v>
          </cell>
          <cell r="DC65">
            <v>0</v>
          </cell>
          <cell r="DD65">
            <v>78100.928294232217</v>
          </cell>
          <cell r="DE65">
            <v>41156.03906136132</v>
          </cell>
          <cell r="DF65">
            <v>4280.5871237630872</v>
          </cell>
          <cell r="DG65">
            <v>0</v>
          </cell>
          <cell r="DH65">
            <v>0</v>
          </cell>
          <cell r="DI65">
            <v>123537.55447935664</v>
          </cell>
          <cell r="DJ65">
            <v>0</v>
          </cell>
          <cell r="DK65">
            <v>11106.5</v>
          </cell>
          <cell r="DL65">
            <v>7187.43</v>
          </cell>
          <cell r="DM65">
            <v>70073.495851086889</v>
          </cell>
          <cell r="DN65">
            <v>0</v>
          </cell>
          <cell r="DO65">
            <v>0</v>
          </cell>
          <cell r="DP65">
            <v>0</v>
          </cell>
          <cell r="DQ65">
            <v>88367.425851086882</v>
          </cell>
          <cell r="DR65">
            <v>0</v>
          </cell>
          <cell r="DS65">
            <v>0</v>
          </cell>
          <cell r="DT65">
            <v>0</v>
          </cell>
          <cell r="DU65">
            <v>0</v>
          </cell>
          <cell r="DV65">
            <v>0</v>
          </cell>
          <cell r="DW65">
            <v>0</v>
          </cell>
          <cell r="DX65">
            <v>0</v>
          </cell>
          <cell r="DY65">
            <v>3594.6233866411571</v>
          </cell>
          <cell r="DZ65">
            <v>0</v>
          </cell>
          <cell r="EA65">
            <v>0</v>
          </cell>
          <cell r="EB65">
            <v>3594.6233866411571</v>
          </cell>
          <cell r="EE65">
            <v>0</v>
          </cell>
          <cell r="EH65">
            <v>0</v>
          </cell>
          <cell r="EI65">
            <v>6770.3555000000006</v>
          </cell>
          <cell r="EK65">
            <v>0</v>
          </cell>
          <cell r="EL65">
            <v>0</v>
          </cell>
          <cell r="EM65">
            <v>0</v>
          </cell>
          <cell r="EO65">
            <v>6770.3555000000006</v>
          </cell>
          <cell r="EP65">
            <v>0</v>
          </cell>
          <cell r="EQ65">
            <v>156611.10877123781</v>
          </cell>
          <cell r="ER65">
            <v>1115536.5362088496</v>
          </cell>
          <cell r="ET65">
            <v>306.61052631578946</v>
          </cell>
          <cell r="EU65">
            <v>3638.2851874430348</v>
          </cell>
          <cell r="EV65" t="str">
            <v>No Variation Applied</v>
          </cell>
          <cell r="EW65">
            <v>40800</v>
          </cell>
          <cell r="EX65">
            <v>0</v>
          </cell>
          <cell r="EY65">
            <v>0</v>
          </cell>
          <cell r="EZ65">
            <v>115452.83372507186</v>
          </cell>
        </row>
        <row r="66">
          <cell r="C66" t="str">
            <v>Cherry Tree Hill Primary School</v>
          </cell>
          <cell r="D66">
            <v>2451</v>
          </cell>
          <cell r="F66" t="str">
            <v/>
          </cell>
          <cell r="G66">
            <v>0</v>
          </cell>
          <cell r="H66">
            <v>29442</v>
          </cell>
          <cell r="I66">
            <v>0</v>
          </cell>
          <cell r="J66">
            <v>0</v>
          </cell>
          <cell r="L66">
            <v>102941.92861065907</v>
          </cell>
          <cell r="M66">
            <v>29442</v>
          </cell>
          <cell r="N66">
            <v>30.991578947368421</v>
          </cell>
          <cell r="S66">
            <v>0</v>
          </cell>
          <cell r="T66">
            <v>0</v>
          </cell>
          <cell r="U66">
            <v>65</v>
          </cell>
          <cell r="Y66">
            <v>63</v>
          </cell>
          <cell r="Z66">
            <v>58</v>
          </cell>
          <cell r="AA66">
            <v>61</v>
          </cell>
          <cell r="AB66">
            <v>62</v>
          </cell>
          <cell r="AC66">
            <v>63</v>
          </cell>
          <cell r="AD66">
            <v>66</v>
          </cell>
          <cell r="AK66">
            <v>1132894.9302798971</v>
          </cell>
          <cell r="AL66">
            <v>438</v>
          </cell>
          <cell r="BS66">
            <v>6371.2548000000006</v>
          </cell>
          <cell r="BT66">
            <v>0</v>
          </cell>
          <cell r="BU66">
            <v>0</v>
          </cell>
          <cell r="BV66">
            <v>0</v>
          </cell>
          <cell r="BW66">
            <v>0</v>
          </cell>
          <cell r="BX66">
            <v>1289.6031999999977</v>
          </cell>
          <cell r="BY66">
            <v>0</v>
          </cell>
          <cell r="BZ66">
            <v>5019.2489999999998</v>
          </cell>
          <cell r="CA66">
            <v>0</v>
          </cell>
          <cell r="CB66">
            <v>0</v>
          </cell>
          <cell r="CC66">
            <v>0</v>
          </cell>
          <cell r="CD66">
            <v>0</v>
          </cell>
          <cell r="CE66">
            <v>12680.106999999998</v>
          </cell>
          <cell r="CF66">
            <v>34020.916695056439</v>
          </cell>
          <cell r="CI66">
            <v>0</v>
          </cell>
          <cell r="CJ66">
            <v>0</v>
          </cell>
          <cell r="CK66">
            <v>8890.09</v>
          </cell>
          <cell r="CL66">
            <v>5979.0240471001689</v>
          </cell>
          <cell r="CM66">
            <v>48890.030742156603</v>
          </cell>
          <cell r="CQ66">
            <v>3046.9238377843717</v>
          </cell>
          <cell r="CR66">
            <v>1607.77</v>
          </cell>
          <cell r="CS66">
            <v>2829.1936421176256</v>
          </cell>
          <cell r="CT66">
            <v>7483.8874799019977</v>
          </cell>
          <cell r="CU66">
            <v>3003.2387510207782</v>
          </cell>
          <cell r="CV66">
            <v>0</v>
          </cell>
          <cell r="CW66">
            <v>3003.2387510207782</v>
          </cell>
          <cell r="CX66">
            <v>0</v>
          </cell>
          <cell r="CZ66">
            <v>0</v>
          </cell>
          <cell r="DC66">
            <v>0</v>
          </cell>
          <cell r="DD66">
            <v>85710.459827431565</v>
          </cell>
          <cell r="DE66">
            <v>89815.66535490453</v>
          </cell>
          <cell r="DF66">
            <v>10273.40909703141</v>
          </cell>
          <cell r="DG66">
            <v>0</v>
          </cell>
          <cell r="DH66">
            <v>0</v>
          </cell>
          <cell r="DI66">
            <v>185799.53427936748</v>
          </cell>
          <cell r="DJ66">
            <v>0</v>
          </cell>
          <cell r="DK66">
            <v>22098.5</v>
          </cell>
          <cell r="DL66">
            <v>7362.3</v>
          </cell>
          <cell r="DM66">
            <v>70073.495851086889</v>
          </cell>
          <cell r="DN66">
            <v>0</v>
          </cell>
          <cell r="DO66">
            <v>0</v>
          </cell>
          <cell r="DP66">
            <v>0</v>
          </cell>
          <cell r="DQ66">
            <v>99534.295851086892</v>
          </cell>
          <cell r="DR66">
            <v>0</v>
          </cell>
          <cell r="DS66">
            <v>0</v>
          </cell>
          <cell r="DT66">
            <v>0</v>
          </cell>
          <cell r="DU66">
            <v>0</v>
          </cell>
          <cell r="DV66">
            <v>0</v>
          </cell>
          <cell r="DW66">
            <v>0</v>
          </cell>
          <cell r="DX66">
            <v>0</v>
          </cell>
          <cell r="DY66">
            <v>4248.1912751213677</v>
          </cell>
          <cell r="DZ66">
            <v>1512.6823409033225</v>
          </cell>
          <cell r="EA66">
            <v>0</v>
          </cell>
          <cell r="EB66">
            <v>5760.8736160246899</v>
          </cell>
          <cell r="EE66">
            <v>0</v>
          </cell>
          <cell r="EH66">
            <v>0</v>
          </cell>
          <cell r="EI66">
            <v>0</v>
          </cell>
          <cell r="EK66">
            <v>0</v>
          </cell>
          <cell r="EL66">
            <v>0</v>
          </cell>
          <cell r="EM66">
            <v>0</v>
          </cell>
          <cell r="EO66">
            <v>0</v>
          </cell>
          <cell r="EP66">
            <v>0</v>
          </cell>
          <cell r="EQ66">
            <v>115622.03561065908</v>
          </cell>
          <cell r="ER66">
            <v>1598988.8266101144</v>
          </cell>
          <cell r="ET66">
            <v>468.9915789473684</v>
          </cell>
          <cell r="EU66">
            <v>3409.4190565190461</v>
          </cell>
          <cell r="EV66" t="str">
            <v>No Variation Applied</v>
          </cell>
          <cell r="EW66">
            <v>52800</v>
          </cell>
          <cell r="EX66">
            <v>0</v>
          </cell>
          <cell r="EY66">
            <v>0</v>
          </cell>
          <cell r="EZ66">
            <v>131280.67495362909</v>
          </cell>
        </row>
        <row r="67">
          <cell r="C67" t="str">
            <v>Meadow Farm Community Primary School</v>
          </cell>
          <cell r="D67">
            <v>2452</v>
          </cell>
          <cell r="F67" t="str">
            <v/>
          </cell>
          <cell r="G67">
            <v>0</v>
          </cell>
          <cell r="H67">
            <v>21210</v>
          </cell>
          <cell r="I67">
            <v>0</v>
          </cell>
          <cell r="J67">
            <v>0</v>
          </cell>
          <cell r="L67">
            <v>74159.306631073938</v>
          </cell>
          <cell r="M67">
            <v>21210</v>
          </cell>
          <cell r="N67">
            <v>22.326315789473686</v>
          </cell>
          <cell r="S67">
            <v>0</v>
          </cell>
          <cell r="T67">
            <v>0</v>
          </cell>
          <cell r="U67">
            <v>30</v>
          </cell>
          <cell r="Y67">
            <v>29</v>
          </cell>
          <cell r="Z67">
            <v>28</v>
          </cell>
          <cell r="AA67">
            <v>33</v>
          </cell>
          <cell r="AB67">
            <v>27</v>
          </cell>
          <cell r="AC67">
            <v>25</v>
          </cell>
          <cell r="AD67">
            <v>38</v>
          </cell>
          <cell r="AK67">
            <v>542896.45356527099</v>
          </cell>
          <cell r="AL67">
            <v>210</v>
          </cell>
          <cell r="BS67">
            <v>7659.4319999999998</v>
          </cell>
          <cell r="BT67">
            <v>0</v>
          </cell>
          <cell r="BU67">
            <v>116.05200000000001</v>
          </cell>
          <cell r="BV67">
            <v>0</v>
          </cell>
          <cell r="BW67">
            <v>0</v>
          </cell>
          <cell r="BX67">
            <v>-5679.6097515765869</v>
          </cell>
          <cell r="BY67">
            <v>0</v>
          </cell>
          <cell r="BZ67">
            <v>3011.5493999999999</v>
          </cell>
          <cell r="CA67">
            <v>0</v>
          </cell>
          <cell r="CB67">
            <v>0</v>
          </cell>
          <cell r="CC67">
            <v>0</v>
          </cell>
          <cell r="CD67">
            <v>0</v>
          </cell>
          <cell r="CE67">
            <v>5107.4236484234125</v>
          </cell>
          <cell r="CF67">
            <v>11340.305565018814</v>
          </cell>
          <cell r="CI67">
            <v>0</v>
          </cell>
          <cell r="CJ67">
            <v>0</v>
          </cell>
          <cell r="CK67">
            <v>4262.37</v>
          </cell>
          <cell r="CL67">
            <v>2874.0868488956407</v>
          </cell>
          <cell r="CM67">
            <v>18476.762413914454</v>
          </cell>
          <cell r="CQ67">
            <v>3046.9238377843717</v>
          </cell>
          <cell r="CR67">
            <v>1004.86</v>
          </cell>
          <cell r="CS67">
            <v>1616.6820812100718</v>
          </cell>
          <cell r="CT67">
            <v>5668.4659189944432</v>
          </cell>
          <cell r="CU67">
            <v>6006.4775020415564</v>
          </cell>
          <cell r="CV67">
            <v>0</v>
          </cell>
          <cell r="CW67">
            <v>6006.4775020415564</v>
          </cell>
          <cell r="CX67">
            <v>0</v>
          </cell>
          <cell r="CZ67">
            <v>0</v>
          </cell>
          <cell r="DC67">
            <v>0</v>
          </cell>
          <cell r="DD67">
            <v>84766.641962848706</v>
          </cell>
          <cell r="DE67">
            <v>79583.500947383756</v>
          </cell>
          <cell r="DF67">
            <v>5136.704548515705</v>
          </cell>
          <cell r="DG67">
            <v>0</v>
          </cell>
          <cell r="DH67">
            <v>0</v>
          </cell>
          <cell r="DI67">
            <v>169486.84745874818</v>
          </cell>
          <cell r="DJ67">
            <v>0</v>
          </cell>
          <cell r="DK67">
            <v>14198</v>
          </cell>
          <cell r="DL67">
            <v>3811.25</v>
          </cell>
          <cell r="DM67">
            <v>70073.495851086889</v>
          </cell>
          <cell r="DN67">
            <v>0</v>
          </cell>
          <cell r="DO67">
            <v>0</v>
          </cell>
          <cell r="DP67">
            <v>0</v>
          </cell>
          <cell r="DQ67">
            <v>88082.745851086889</v>
          </cell>
          <cell r="DR67">
            <v>0</v>
          </cell>
          <cell r="DS67">
            <v>0</v>
          </cell>
          <cell r="DT67">
            <v>0</v>
          </cell>
          <cell r="DU67">
            <v>0</v>
          </cell>
          <cell r="DV67">
            <v>0</v>
          </cell>
          <cell r="DW67">
            <v>0</v>
          </cell>
          <cell r="DX67">
            <v>0</v>
          </cell>
          <cell r="DY67">
            <v>1960.7036654406311</v>
          </cell>
          <cell r="DZ67">
            <v>0</v>
          </cell>
          <cell r="EA67">
            <v>0</v>
          </cell>
          <cell r="EB67">
            <v>1960.7036654406311</v>
          </cell>
          <cell r="EE67">
            <v>0</v>
          </cell>
          <cell r="EH67">
            <v>0</v>
          </cell>
          <cell r="EI67">
            <v>0</v>
          </cell>
          <cell r="EK67">
            <v>0</v>
          </cell>
          <cell r="EL67">
            <v>5632</v>
          </cell>
          <cell r="EM67">
            <v>0</v>
          </cell>
          <cell r="EO67">
            <v>5632</v>
          </cell>
          <cell r="EP67">
            <v>0</v>
          </cell>
          <cell r="EQ67">
            <v>79266.730279497351</v>
          </cell>
          <cell r="ER67">
            <v>917477.1866549945</v>
          </cell>
          <cell r="ET67">
            <v>232.32631578947368</v>
          </cell>
          <cell r="EU67">
            <v>3949.0885203309535</v>
          </cell>
          <cell r="EV67" t="str">
            <v>No Variation Applied</v>
          </cell>
          <cell r="EW67">
            <v>43200</v>
          </cell>
          <cell r="EX67">
            <v>0</v>
          </cell>
          <cell r="EY67">
            <v>0</v>
          </cell>
          <cell r="EZ67">
            <v>113858.1342972253</v>
          </cell>
        </row>
        <row r="68">
          <cell r="C68" t="str">
            <v>Chaddesden Park Junior School</v>
          </cell>
          <cell r="D68">
            <v>2453</v>
          </cell>
          <cell r="F68" t="str">
            <v/>
          </cell>
          <cell r="G68">
            <v>0</v>
          </cell>
          <cell r="H68">
            <v>0</v>
          </cell>
          <cell r="I68">
            <v>0</v>
          </cell>
          <cell r="J68">
            <v>0</v>
          </cell>
          <cell r="L68">
            <v>0</v>
          </cell>
          <cell r="M68">
            <v>0</v>
          </cell>
          <cell r="N68">
            <v>0</v>
          </cell>
          <cell r="S68">
            <v>0</v>
          </cell>
          <cell r="T68">
            <v>0</v>
          </cell>
          <cell r="U68">
            <v>0</v>
          </cell>
          <cell r="Y68">
            <v>0</v>
          </cell>
          <cell r="Z68">
            <v>0</v>
          </cell>
          <cell r="AA68">
            <v>38</v>
          </cell>
          <cell r="AB68">
            <v>49</v>
          </cell>
          <cell r="AC68">
            <v>40</v>
          </cell>
          <cell r="AD68">
            <v>55</v>
          </cell>
          <cell r="AK68">
            <v>467613.16944306128</v>
          </cell>
          <cell r="AL68">
            <v>182</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I68">
            <v>0</v>
          </cell>
          <cell r="CJ68">
            <v>0</v>
          </cell>
          <cell r="CK68">
            <v>3694.05</v>
          </cell>
          <cell r="CL68">
            <v>2866.3918372520111</v>
          </cell>
          <cell r="CM68">
            <v>6560.4418372520113</v>
          </cell>
          <cell r="CQ68">
            <v>1523.4619188921858</v>
          </cell>
          <cell r="CR68">
            <v>1607.77</v>
          </cell>
          <cell r="CS68">
            <v>808.34104060503591</v>
          </cell>
          <cell r="CT68">
            <v>3939.5729594972217</v>
          </cell>
          <cell r="CU68">
            <v>9009.7162530623336</v>
          </cell>
          <cell r="CV68">
            <v>0</v>
          </cell>
          <cell r="CW68">
            <v>9009.7162530623336</v>
          </cell>
          <cell r="CX68">
            <v>0</v>
          </cell>
          <cell r="CZ68">
            <v>0</v>
          </cell>
          <cell r="DC68">
            <v>0</v>
          </cell>
          <cell r="DD68">
            <v>44315.198172992408</v>
          </cell>
          <cell r="DE68">
            <v>51160.822037603844</v>
          </cell>
          <cell r="DF68">
            <v>4280.5871237630872</v>
          </cell>
          <cell r="DG68">
            <v>0</v>
          </cell>
          <cell r="DH68">
            <v>0</v>
          </cell>
          <cell r="DI68">
            <v>99756.607334359345</v>
          </cell>
          <cell r="DJ68">
            <v>0</v>
          </cell>
          <cell r="DK68">
            <v>6125.75</v>
          </cell>
          <cell r="DL68">
            <v>6247.81</v>
          </cell>
          <cell r="DM68">
            <v>74722.185859261808</v>
          </cell>
          <cell r="DN68">
            <v>0</v>
          </cell>
          <cell r="DO68">
            <v>0</v>
          </cell>
          <cell r="DP68">
            <v>0</v>
          </cell>
          <cell r="DQ68">
            <v>87095.745859261806</v>
          </cell>
          <cell r="DR68">
            <v>0</v>
          </cell>
          <cell r="DS68">
            <v>0</v>
          </cell>
          <cell r="DT68">
            <v>0</v>
          </cell>
          <cell r="DU68">
            <v>0</v>
          </cell>
          <cell r="DV68">
            <v>0</v>
          </cell>
          <cell r="DW68">
            <v>0</v>
          </cell>
          <cell r="DX68">
            <v>0</v>
          </cell>
          <cell r="DY68">
            <v>2941.0554981609466</v>
          </cell>
          <cell r="DZ68">
            <v>0</v>
          </cell>
          <cell r="EA68">
            <v>0</v>
          </cell>
          <cell r="EB68">
            <v>2941.0554981609466</v>
          </cell>
          <cell r="EE68">
            <v>0</v>
          </cell>
          <cell r="EH68">
            <v>0</v>
          </cell>
          <cell r="EI68">
            <v>0</v>
          </cell>
          <cell r="EK68">
            <v>0</v>
          </cell>
          <cell r="EL68">
            <v>10887</v>
          </cell>
          <cell r="EM68">
            <v>0</v>
          </cell>
          <cell r="EO68">
            <v>10887</v>
          </cell>
          <cell r="EP68">
            <v>0</v>
          </cell>
          <cell r="EQ68">
            <v>0</v>
          </cell>
          <cell r="ER68">
            <v>687803.30918465508</v>
          </cell>
          <cell r="ET68">
            <v>182</v>
          </cell>
          <cell r="EU68">
            <v>3779.1390614541488</v>
          </cell>
          <cell r="EV68" t="str">
            <v>No Variation Applied</v>
          </cell>
          <cell r="EW68">
            <v>36000</v>
          </cell>
          <cell r="EX68">
            <v>0</v>
          </cell>
          <cell r="EY68">
            <v>0</v>
          </cell>
          <cell r="EZ68">
            <v>71311.580830052713</v>
          </cell>
        </row>
        <row r="69">
          <cell r="C69" t="str">
            <v>Chellaston Infant School</v>
          </cell>
          <cell r="D69">
            <v>2455</v>
          </cell>
          <cell r="F69" t="str">
            <v/>
          </cell>
          <cell r="G69">
            <v>0</v>
          </cell>
          <cell r="H69">
            <v>0</v>
          </cell>
          <cell r="I69">
            <v>0</v>
          </cell>
          <cell r="J69">
            <v>0</v>
          </cell>
          <cell r="L69">
            <v>0</v>
          </cell>
          <cell r="M69">
            <v>0</v>
          </cell>
          <cell r="N69">
            <v>0</v>
          </cell>
          <cell r="S69">
            <v>0</v>
          </cell>
          <cell r="T69">
            <v>0</v>
          </cell>
          <cell r="U69">
            <v>120</v>
          </cell>
          <cell r="Y69">
            <v>120</v>
          </cell>
          <cell r="Z69">
            <v>120</v>
          </cell>
          <cell r="AA69">
            <v>0</v>
          </cell>
          <cell r="AB69">
            <v>0</v>
          </cell>
          <cell r="AC69">
            <v>0</v>
          </cell>
          <cell r="AD69">
            <v>0</v>
          </cell>
          <cell r="AK69">
            <v>936892.62885780726</v>
          </cell>
          <cell r="AL69">
            <v>360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45361.222260075258</v>
          </cell>
          <cell r="CI69">
            <v>0</v>
          </cell>
          <cell r="CJ69">
            <v>0</v>
          </cell>
          <cell r="CK69">
            <v>7306.92</v>
          </cell>
          <cell r="CL69">
            <v>4882.4848878829562</v>
          </cell>
          <cell r="CM69">
            <v>57550.627147958214</v>
          </cell>
          <cell r="CQ69">
            <v>5332.1167161226504</v>
          </cell>
          <cell r="CR69">
            <v>3818.46</v>
          </cell>
          <cell r="CS69">
            <v>6062.5578045377697</v>
          </cell>
          <cell r="CT69">
            <v>15213.13452066042</v>
          </cell>
          <cell r="CU69">
            <v>11011.875420409518</v>
          </cell>
          <cell r="CV69">
            <v>0</v>
          </cell>
          <cell r="CW69">
            <v>11011.875420409518</v>
          </cell>
          <cell r="CX69">
            <v>0</v>
          </cell>
          <cell r="CZ69">
            <v>0</v>
          </cell>
          <cell r="DC69">
            <v>0</v>
          </cell>
          <cell r="DD69">
            <v>59666.9856265981</v>
          </cell>
          <cell r="DE69">
            <v>24102.431715493367</v>
          </cell>
          <cell r="DF69">
            <v>7705.0568227735575</v>
          </cell>
          <cell r="DG69">
            <v>0</v>
          </cell>
          <cell r="DH69">
            <v>0</v>
          </cell>
          <cell r="DI69">
            <v>91474.474164865038</v>
          </cell>
          <cell r="DJ69">
            <v>0</v>
          </cell>
          <cell r="DK69">
            <v>23816</v>
          </cell>
          <cell r="DL69">
            <v>4365.59</v>
          </cell>
          <cell r="DM69">
            <v>70073.495851086889</v>
          </cell>
          <cell r="DN69">
            <v>0</v>
          </cell>
          <cell r="DO69">
            <v>0</v>
          </cell>
          <cell r="DP69">
            <v>0</v>
          </cell>
          <cell r="DQ69">
            <v>98255.085851086886</v>
          </cell>
          <cell r="DR69">
            <v>0</v>
          </cell>
          <cell r="DS69">
            <v>0</v>
          </cell>
          <cell r="DT69">
            <v>0</v>
          </cell>
          <cell r="DU69">
            <v>0</v>
          </cell>
          <cell r="DV69">
            <v>0</v>
          </cell>
          <cell r="DW69">
            <v>0</v>
          </cell>
          <cell r="DX69">
            <v>0</v>
          </cell>
          <cell r="DY69">
            <v>4574.9752193614731</v>
          </cell>
          <cell r="DZ69">
            <v>0</v>
          </cell>
          <cell r="EA69">
            <v>0</v>
          </cell>
          <cell r="EB69">
            <v>4574.9752193614731</v>
          </cell>
          <cell r="EE69">
            <v>0</v>
          </cell>
          <cell r="EH69">
            <v>0</v>
          </cell>
          <cell r="EI69">
            <v>0</v>
          </cell>
          <cell r="EK69">
            <v>0</v>
          </cell>
          <cell r="EL69">
            <v>7384</v>
          </cell>
          <cell r="EM69">
            <v>0</v>
          </cell>
          <cell r="EO69">
            <v>7384</v>
          </cell>
          <cell r="EP69">
            <v>0</v>
          </cell>
          <cell r="EQ69">
            <v>0</v>
          </cell>
          <cell r="ER69">
            <v>1222356.801182149</v>
          </cell>
          <cell r="ET69">
            <v>360</v>
          </cell>
          <cell r="EU69">
            <v>3395.4355588393028</v>
          </cell>
          <cell r="EV69" t="str">
            <v>No Variation Applied</v>
          </cell>
          <cell r="EW69">
            <v>28200</v>
          </cell>
          <cell r="EX69">
            <v>0</v>
          </cell>
          <cell r="EY69">
            <v>0</v>
          </cell>
          <cell r="EZ69">
            <v>107209.27788628415</v>
          </cell>
        </row>
        <row r="70">
          <cell r="C70" t="str">
            <v>Carlyle Infant School</v>
          </cell>
          <cell r="D70">
            <v>2456</v>
          </cell>
          <cell r="F70" t="str">
            <v/>
          </cell>
          <cell r="G70">
            <v>0</v>
          </cell>
          <cell r="H70">
            <v>28020</v>
          </cell>
          <cell r="I70">
            <v>0</v>
          </cell>
          <cell r="J70">
            <v>0</v>
          </cell>
          <cell r="L70">
            <v>97970.003385322576</v>
          </cell>
          <cell r="M70">
            <v>28020</v>
          </cell>
          <cell r="N70">
            <v>29.494736842105262</v>
          </cell>
          <cell r="S70">
            <v>0</v>
          </cell>
          <cell r="T70">
            <v>0</v>
          </cell>
          <cell r="U70">
            <v>60</v>
          </cell>
          <cell r="Y70">
            <v>60</v>
          </cell>
          <cell r="Z70">
            <v>59</v>
          </cell>
          <cell r="AA70">
            <v>0</v>
          </cell>
          <cell r="AB70">
            <v>0</v>
          </cell>
          <cell r="AC70">
            <v>0</v>
          </cell>
          <cell r="AD70">
            <v>0</v>
          </cell>
          <cell r="AK70">
            <v>465995.98493138084</v>
          </cell>
          <cell r="AL70">
            <v>179</v>
          </cell>
          <cell r="BS70">
            <v>1624.7280000000001</v>
          </cell>
          <cell r="BT70">
            <v>0</v>
          </cell>
          <cell r="BU70">
            <v>1856.8320000000001</v>
          </cell>
          <cell r="BV70">
            <v>0</v>
          </cell>
          <cell r="BW70">
            <v>0</v>
          </cell>
          <cell r="BX70">
            <v>-2196.2480000000069</v>
          </cell>
          <cell r="BY70">
            <v>0</v>
          </cell>
          <cell r="BZ70">
            <v>0</v>
          </cell>
          <cell r="CA70">
            <v>0</v>
          </cell>
          <cell r="CB70">
            <v>0</v>
          </cell>
          <cell r="CC70">
            <v>0</v>
          </cell>
          <cell r="CD70">
            <v>0</v>
          </cell>
          <cell r="CE70">
            <v>1285.3119999999935</v>
          </cell>
          <cell r="CF70">
            <v>22680.611130037629</v>
          </cell>
          <cell r="CI70">
            <v>0</v>
          </cell>
          <cell r="CJ70">
            <v>0</v>
          </cell>
          <cell r="CK70">
            <v>3633.16</v>
          </cell>
          <cell r="CL70">
            <v>3016.444564302788</v>
          </cell>
          <cell r="CM70">
            <v>29330.215694340415</v>
          </cell>
          <cell r="CQ70">
            <v>3808.6547972304647</v>
          </cell>
          <cell r="CR70">
            <v>8641.77</v>
          </cell>
          <cell r="CS70">
            <v>10104.263007562949</v>
          </cell>
          <cell r="CT70">
            <v>22554.687804793415</v>
          </cell>
          <cell r="CU70">
            <v>2502.698959183982</v>
          </cell>
          <cell r="CV70">
            <v>0</v>
          </cell>
          <cell r="CW70">
            <v>2502.698959183982</v>
          </cell>
          <cell r="CX70">
            <v>0</v>
          </cell>
          <cell r="CZ70">
            <v>0</v>
          </cell>
          <cell r="DC70">
            <v>0</v>
          </cell>
          <cell r="DD70">
            <v>19289.277607412336</v>
          </cell>
          <cell r="DE70">
            <v>13870.267307972599</v>
          </cell>
          <cell r="DF70">
            <v>856.11742475261747</v>
          </cell>
          <cell r="DG70">
            <v>0</v>
          </cell>
          <cell r="DH70">
            <v>0</v>
          </cell>
          <cell r="DI70">
            <v>34015.662340137547</v>
          </cell>
          <cell r="DJ70">
            <v>0</v>
          </cell>
          <cell r="DK70">
            <v>8587.5</v>
          </cell>
          <cell r="DL70">
            <v>2870.98</v>
          </cell>
          <cell r="DM70">
            <v>70073.495851086889</v>
          </cell>
          <cell r="DN70">
            <v>0</v>
          </cell>
          <cell r="DO70">
            <v>0</v>
          </cell>
          <cell r="DP70">
            <v>0</v>
          </cell>
          <cell r="DQ70">
            <v>81531.975851086885</v>
          </cell>
          <cell r="DR70">
            <v>0</v>
          </cell>
          <cell r="DS70">
            <v>0</v>
          </cell>
          <cell r="DT70">
            <v>0</v>
          </cell>
          <cell r="DU70">
            <v>0</v>
          </cell>
          <cell r="DV70">
            <v>0</v>
          </cell>
          <cell r="DW70">
            <v>0</v>
          </cell>
          <cell r="DX70">
            <v>0</v>
          </cell>
          <cell r="DY70">
            <v>4574.9752193614731</v>
          </cell>
          <cell r="DZ70">
            <v>0</v>
          </cell>
          <cell r="EA70">
            <v>0</v>
          </cell>
          <cell r="EB70">
            <v>4574.9752193614731</v>
          </cell>
          <cell r="EE70">
            <v>0</v>
          </cell>
          <cell r="EH70">
            <v>0</v>
          </cell>
          <cell r="EI70">
            <v>0</v>
          </cell>
          <cell r="EK70">
            <v>0</v>
          </cell>
          <cell r="EL70">
            <v>6257</v>
          </cell>
          <cell r="EM70">
            <v>0</v>
          </cell>
          <cell r="EO70">
            <v>6257</v>
          </cell>
          <cell r="EP70">
            <v>0</v>
          </cell>
          <cell r="EQ70">
            <v>99255.315385322567</v>
          </cell>
          <cell r="ER70">
            <v>746018.51618560706</v>
          </cell>
          <cell r="ET70">
            <v>208.49473684210525</v>
          </cell>
          <cell r="EU70">
            <v>3578.1167787970248</v>
          </cell>
          <cell r="EV70" t="str">
            <v>No Variation Applied</v>
          </cell>
          <cell r="EW70">
            <v>9000</v>
          </cell>
          <cell r="EX70">
            <v>0</v>
          </cell>
          <cell r="EY70">
            <v>0</v>
          </cell>
          <cell r="EZ70">
            <v>49038.286137114141</v>
          </cell>
        </row>
        <row r="71">
          <cell r="C71" t="str">
            <v>Gayton Community Junior School</v>
          </cell>
          <cell r="D71">
            <v>2457</v>
          </cell>
          <cell r="F71" t="str">
            <v/>
          </cell>
          <cell r="G71">
            <v>0</v>
          </cell>
          <cell r="H71">
            <v>0</v>
          </cell>
          <cell r="I71">
            <v>0</v>
          </cell>
          <cell r="J71">
            <v>0</v>
          </cell>
          <cell r="L71">
            <v>0</v>
          </cell>
          <cell r="M71">
            <v>0</v>
          </cell>
          <cell r="N71">
            <v>0</v>
          </cell>
          <cell r="S71">
            <v>0</v>
          </cell>
          <cell r="T71">
            <v>0</v>
          </cell>
          <cell r="U71">
            <v>0</v>
          </cell>
          <cell r="Y71">
            <v>0</v>
          </cell>
          <cell r="Z71">
            <v>0</v>
          </cell>
          <cell r="AA71">
            <v>82</v>
          </cell>
          <cell r="AB71">
            <v>92</v>
          </cell>
          <cell r="AC71">
            <v>85</v>
          </cell>
          <cell r="AD71">
            <v>84</v>
          </cell>
          <cell r="AK71">
            <v>881270.97318115388</v>
          </cell>
          <cell r="AL71">
            <v>343</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I71">
            <v>0</v>
          </cell>
          <cell r="CJ71">
            <v>0</v>
          </cell>
          <cell r="CK71">
            <v>6961.87</v>
          </cell>
          <cell r="CL71">
            <v>2866.3918372520111</v>
          </cell>
          <cell r="CM71">
            <v>9828.2618372520119</v>
          </cell>
          <cell r="CQ71">
            <v>3808.6547972304647</v>
          </cell>
          <cell r="CR71">
            <v>17886.46</v>
          </cell>
          <cell r="CS71">
            <v>17581.41763315953</v>
          </cell>
          <cell r="CT71">
            <v>39276.532430389998</v>
          </cell>
          <cell r="CU71">
            <v>7257.8269816335478</v>
          </cell>
          <cell r="CV71">
            <v>0</v>
          </cell>
          <cell r="CW71">
            <v>7257.8269816335478</v>
          </cell>
          <cell r="CX71">
            <v>0</v>
          </cell>
          <cell r="CZ71">
            <v>0</v>
          </cell>
          <cell r="DC71">
            <v>0</v>
          </cell>
          <cell r="DD71">
            <v>64843.236727669755</v>
          </cell>
          <cell r="DE71">
            <v>53889.399212942721</v>
          </cell>
          <cell r="DF71">
            <v>3424.4696990104699</v>
          </cell>
          <cell r="DG71">
            <v>0</v>
          </cell>
          <cell r="DH71">
            <v>0</v>
          </cell>
          <cell r="DI71">
            <v>122157.10563962294</v>
          </cell>
          <cell r="DJ71">
            <v>0</v>
          </cell>
          <cell r="DK71">
            <v>19055</v>
          </cell>
          <cell r="DL71">
            <v>5208.22</v>
          </cell>
          <cell r="DM71">
            <v>70073.495851086889</v>
          </cell>
          <cell r="DN71">
            <v>0</v>
          </cell>
          <cell r="DO71">
            <v>0</v>
          </cell>
          <cell r="DP71">
            <v>0</v>
          </cell>
          <cell r="DQ71">
            <v>94336.71585108689</v>
          </cell>
          <cell r="DR71">
            <v>0</v>
          </cell>
          <cell r="DS71">
            <v>0</v>
          </cell>
          <cell r="DT71">
            <v>0</v>
          </cell>
          <cell r="DU71">
            <v>0</v>
          </cell>
          <cell r="DV71">
            <v>0</v>
          </cell>
          <cell r="DW71">
            <v>0</v>
          </cell>
          <cell r="DX71">
            <v>0</v>
          </cell>
          <cell r="DY71">
            <v>4248.1912751213677</v>
          </cell>
          <cell r="DZ71">
            <v>0</v>
          </cell>
          <cell r="EA71">
            <v>0</v>
          </cell>
          <cell r="EB71">
            <v>4248.1912751213677</v>
          </cell>
          <cell r="EE71">
            <v>0</v>
          </cell>
          <cell r="EH71">
            <v>0</v>
          </cell>
          <cell r="EI71">
            <v>0</v>
          </cell>
          <cell r="EK71">
            <v>0</v>
          </cell>
          <cell r="EL71">
            <v>3504</v>
          </cell>
          <cell r="EM71">
            <v>0</v>
          </cell>
          <cell r="EO71">
            <v>3504</v>
          </cell>
          <cell r="EP71">
            <v>0</v>
          </cell>
          <cell r="EQ71">
            <v>0</v>
          </cell>
          <cell r="ER71">
            <v>1161879.6071962607</v>
          </cell>
          <cell r="ET71">
            <v>343</v>
          </cell>
          <cell r="EU71">
            <v>3387.4041026130049</v>
          </cell>
          <cell r="EV71" t="str">
            <v>No Variation Applied</v>
          </cell>
          <cell r="EW71">
            <v>50400</v>
          </cell>
          <cell r="EX71">
            <v>0</v>
          </cell>
          <cell r="EY71">
            <v>0</v>
          </cell>
          <cell r="EZ71">
            <v>115855.60106896967</v>
          </cell>
        </row>
        <row r="72">
          <cell r="C72" t="str">
            <v>Ridgeway Infant School</v>
          </cell>
          <cell r="D72">
            <v>2458</v>
          </cell>
          <cell r="F72" t="str">
            <v/>
          </cell>
          <cell r="G72">
            <v>0</v>
          </cell>
          <cell r="H72">
            <v>0</v>
          </cell>
          <cell r="I72">
            <v>0</v>
          </cell>
          <cell r="J72">
            <v>0</v>
          </cell>
          <cell r="L72">
            <v>0</v>
          </cell>
          <cell r="M72">
            <v>0</v>
          </cell>
          <cell r="N72">
            <v>0</v>
          </cell>
          <cell r="S72">
            <v>0</v>
          </cell>
          <cell r="T72">
            <v>0</v>
          </cell>
          <cell r="U72">
            <v>90</v>
          </cell>
          <cell r="Y72">
            <v>90</v>
          </cell>
          <cell r="Z72">
            <v>90</v>
          </cell>
          <cell r="AA72">
            <v>0</v>
          </cell>
          <cell r="AB72">
            <v>0</v>
          </cell>
          <cell r="AC72">
            <v>0</v>
          </cell>
          <cell r="AD72">
            <v>0</v>
          </cell>
          <cell r="AK72">
            <v>702669.47164335544</v>
          </cell>
          <cell r="AL72">
            <v>270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34020.916695056439</v>
          </cell>
          <cell r="CI72">
            <v>0</v>
          </cell>
          <cell r="CJ72">
            <v>0</v>
          </cell>
          <cell r="CK72">
            <v>5480.19</v>
          </cell>
          <cell r="CL72">
            <v>3021.2539465800564</v>
          </cell>
          <cell r="CM72">
            <v>42522.3606416365</v>
          </cell>
          <cell r="CQ72">
            <v>3046.9238377843717</v>
          </cell>
          <cell r="CR72">
            <v>11857.31</v>
          </cell>
          <cell r="CS72">
            <v>15358.479771495682</v>
          </cell>
          <cell r="CT72">
            <v>30262.713609280054</v>
          </cell>
          <cell r="CU72">
            <v>8133.7716173479403</v>
          </cell>
          <cell r="CV72">
            <v>0</v>
          </cell>
          <cell r="CW72">
            <v>8133.7716173479403</v>
          </cell>
          <cell r="CX72">
            <v>0</v>
          </cell>
          <cell r="CZ72">
            <v>0</v>
          </cell>
          <cell r="DC72">
            <v>0</v>
          </cell>
          <cell r="DD72">
            <v>46394.546905901538</v>
          </cell>
          <cell r="DE72">
            <v>58664.409269785741</v>
          </cell>
          <cell r="DF72">
            <v>5992.8219732683219</v>
          </cell>
          <cell r="DG72">
            <v>0</v>
          </cell>
          <cell r="DH72">
            <v>0</v>
          </cell>
          <cell r="DI72">
            <v>111051.77814895561</v>
          </cell>
          <cell r="DJ72">
            <v>0</v>
          </cell>
          <cell r="DK72">
            <v>3044</v>
          </cell>
          <cell r="DL72">
            <v>3467.23</v>
          </cell>
          <cell r="DM72">
            <v>70073.495851086889</v>
          </cell>
          <cell r="DN72">
            <v>0</v>
          </cell>
          <cell r="DO72">
            <v>0</v>
          </cell>
          <cell r="DP72">
            <v>0</v>
          </cell>
          <cell r="DQ72">
            <v>76584.725851086885</v>
          </cell>
          <cell r="DR72">
            <v>0</v>
          </cell>
          <cell r="DS72">
            <v>0</v>
          </cell>
          <cell r="DT72">
            <v>0</v>
          </cell>
          <cell r="DU72">
            <v>0</v>
          </cell>
          <cell r="DV72">
            <v>0</v>
          </cell>
          <cell r="DW72">
            <v>0</v>
          </cell>
          <cell r="DX72">
            <v>0</v>
          </cell>
          <cell r="DY72">
            <v>2614.2715539208416</v>
          </cell>
          <cell r="DZ72">
            <v>0</v>
          </cell>
          <cell r="EA72">
            <v>0</v>
          </cell>
          <cell r="EB72">
            <v>2614.2715539208416</v>
          </cell>
          <cell r="EE72">
            <v>0</v>
          </cell>
          <cell r="EH72">
            <v>0</v>
          </cell>
          <cell r="EI72">
            <v>0</v>
          </cell>
          <cell r="EK72">
            <v>0</v>
          </cell>
          <cell r="EL72">
            <v>10385</v>
          </cell>
          <cell r="EM72">
            <v>0</v>
          </cell>
          <cell r="EO72">
            <v>10385</v>
          </cell>
          <cell r="EP72">
            <v>0</v>
          </cell>
          <cell r="EQ72">
            <v>0</v>
          </cell>
          <cell r="ER72">
            <v>984224.09306558338</v>
          </cell>
          <cell r="ET72">
            <v>270</v>
          </cell>
          <cell r="EU72">
            <v>3645.2744187614198</v>
          </cell>
          <cell r="EV72" t="str">
            <v>No Variation Applied</v>
          </cell>
          <cell r="EW72">
            <v>24250</v>
          </cell>
          <cell r="EX72">
            <v>0</v>
          </cell>
          <cell r="EY72">
            <v>0</v>
          </cell>
          <cell r="EZ72">
            <v>89364.501948987163</v>
          </cell>
        </row>
        <row r="73">
          <cell r="C73" t="str">
            <v>Wren Park Primary School</v>
          </cell>
          <cell r="D73">
            <v>2459</v>
          </cell>
          <cell r="F73" t="str">
            <v/>
          </cell>
          <cell r="G73">
            <v>0</v>
          </cell>
          <cell r="H73">
            <v>0</v>
          </cell>
          <cell r="I73">
            <v>0</v>
          </cell>
          <cell r="J73">
            <v>0</v>
          </cell>
          <cell r="L73">
            <v>0</v>
          </cell>
          <cell r="M73">
            <v>0</v>
          </cell>
          <cell r="N73">
            <v>0</v>
          </cell>
          <cell r="S73">
            <v>0</v>
          </cell>
          <cell r="T73">
            <v>0</v>
          </cell>
          <cell r="U73">
            <v>55</v>
          </cell>
          <cell r="Y73">
            <v>54</v>
          </cell>
          <cell r="Z73">
            <v>54</v>
          </cell>
          <cell r="AA73">
            <v>53</v>
          </cell>
          <cell r="AB73">
            <v>51</v>
          </cell>
          <cell r="AC73">
            <v>61</v>
          </cell>
          <cell r="AD73">
            <v>56</v>
          </cell>
          <cell r="AK73">
            <v>992324.45403135708</v>
          </cell>
          <cell r="AL73">
            <v>384</v>
          </cell>
          <cell r="BS73">
            <v>0</v>
          </cell>
          <cell r="BT73">
            <v>0</v>
          </cell>
          <cell r="BU73">
            <v>0</v>
          </cell>
          <cell r="BV73">
            <v>0</v>
          </cell>
          <cell r="BW73">
            <v>0</v>
          </cell>
          <cell r="BX73">
            <v>0</v>
          </cell>
          <cell r="BY73">
            <v>0</v>
          </cell>
          <cell r="BZ73">
            <v>0</v>
          </cell>
          <cell r="CA73">
            <v>0</v>
          </cell>
          <cell r="CB73">
            <v>0</v>
          </cell>
          <cell r="CC73">
            <v>0</v>
          </cell>
          <cell r="CD73">
            <v>0</v>
          </cell>
          <cell r="CE73">
            <v>0</v>
          </cell>
          <cell r="CF73">
            <v>22680.611130037629</v>
          </cell>
          <cell r="CI73">
            <v>0</v>
          </cell>
          <cell r="CJ73">
            <v>0</v>
          </cell>
          <cell r="CK73">
            <v>7794.05</v>
          </cell>
          <cell r="CL73">
            <v>5663.5285697113559</v>
          </cell>
          <cell r="CM73">
            <v>36138.189699748982</v>
          </cell>
          <cell r="CQ73">
            <v>3046.9238377843717</v>
          </cell>
          <cell r="CR73">
            <v>4019.43</v>
          </cell>
          <cell r="CS73">
            <v>12529.286129378057</v>
          </cell>
          <cell r="CT73">
            <v>19595.639967162428</v>
          </cell>
          <cell r="CU73">
            <v>16017.273338777484</v>
          </cell>
          <cell r="CV73">
            <v>0</v>
          </cell>
          <cell r="CW73">
            <v>16017.273338777484</v>
          </cell>
          <cell r="CX73">
            <v>0</v>
          </cell>
          <cell r="CZ73">
            <v>0</v>
          </cell>
          <cell r="DC73">
            <v>0</v>
          </cell>
          <cell r="DD73">
            <v>38106.646282533242</v>
          </cell>
          <cell r="DE73">
            <v>7276.2058009036582</v>
          </cell>
          <cell r="DF73">
            <v>1712.2348495052349</v>
          </cell>
          <cell r="DG73">
            <v>0</v>
          </cell>
          <cell r="DH73">
            <v>0</v>
          </cell>
          <cell r="DI73">
            <v>47095.086932942133</v>
          </cell>
          <cell r="DJ73">
            <v>0</v>
          </cell>
          <cell r="DK73">
            <v>14427</v>
          </cell>
          <cell r="DL73">
            <v>4560.26</v>
          </cell>
          <cell r="DM73">
            <v>70073.495851086889</v>
          </cell>
          <cell r="DN73">
            <v>0</v>
          </cell>
          <cell r="DO73">
            <v>0</v>
          </cell>
          <cell r="DP73">
            <v>0</v>
          </cell>
          <cell r="DQ73">
            <v>89060.755851086898</v>
          </cell>
          <cell r="DR73">
            <v>0</v>
          </cell>
          <cell r="DS73">
            <v>0</v>
          </cell>
          <cell r="DT73">
            <v>0</v>
          </cell>
          <cell r="DU73">
            <v>0</v>
          </cell>
          <cell r="DV73">
            <v>0</v>
          </cell>
          <cell r="DW73">
            <v>0</v>
          </cell>
          <cell r="DX73">
            <v>0</v>
          </cell>
          <cell r="DY73">
            <v>2614.2715539208416</v>
          </cell>
          <cell r="DZ73">
            <v>0</v>
          </cell>
          <cell r="EA73">
            <v>0</v>
          </cell>
          <cell r="EB73">
            <v>2614.2715539208416</v>
          </cell>
          <cell r="EE73">
            <v>0</v>
          </cell>
          <cell r="EH73">
            <v>0</v>
          </cell>
          <cell r="EI73">
            <v>0</v>
          </cell>
          <cell r="EK73">
            <v>0</v>
          </cell>
          <cell r="EL73">
            <v>12139</v>
          </cell>
          <cell r="EM73">
            <v>0</v>
          </cell>
          <cell r="EO73">
            <v>12139</v>
          </cell>
          <cell r="EP73">
            <v>0</v>
          </cell>
          <cell r="EQ73">
            <v>0</v>
          </cell>
          <cell r="ER73">
            <v>1214984.6713749957</v>
          </cell>
          <cell r="ET73">
            <v>384</v>
          </cell>
          <cell r="EU73">
            <v>3164.022581705718</v>
          </cell>
          <cell r="EV73" t="str">
            <v>No Variation Applied</v>
          </cell>
          <cell r="EW73">
            <v>17400</v>
          </cell>
          <cell r="EX73">
            <v>0</v>
          </cell>
          <cell r="EY73">
            <v>0</v>
          </cell>
          <cell r="EZ73">
            <v>81623.241815607951</v>
          </cell>
        </row>
        <row r="74">
          <cell r="C74" t="str">
            <v>Ravensdale Infant and Nursery School</v>
          </cell>
          <cell r="D74">
            <v>2462</v>
          </cell>
          <cell r="F74" t="str">
            <v/>
          </cell>
          <cell r="G74">
            <v>0</v>
          </cell>
          <cell r="H74">
            <v>28692</v>
          </cell>
          <cell r="I74">
            <v>0</v>
          </cell>
          <cell r="J74">
            <v>0</v>
          </cell>
          <cell r="L74">
            <v>100319.60517957443</v>
          </cell>
          <cell r="M74">
            <v>28692</v>
          </cell>
          <cell r="N74">
            <v>30.202105263157893</v>
          </cell>
          <cell r="S74">
            <v>0</v>
          </cell>
          <cell r="T74">
            <v>0</v>
          </cell>
          <cell r="U74">
            <v>75</v>
          </cell>
          <cell r="Y74">
            <v>72</v>
          </cell>
          <cell r="Z74">
            <v>74</v>
          </cell>
          <cell r="AA74">
            <v>0</v>
          </cell>
          <cell r="AB74">
            <v>0</v>
          </cell>
          <cell r="AC74">
            <v>0</v>
          </cell>
          <cell r="AD74">
            <v>0</v>
          </cell>
          <cell r="AK74">
            <v>575756.57504603826</v>
          </cell>
          <cell r="AL74">
            <v>221</v>
          </cell>
          <cell r="BS74">
            <v>719.52239999999995</v>
          </cell>
          <cell r="BT74">
            <v>0</v>
          </cell>
          <cell r="BU74">
            <v>348.15600000000001</v>
          </cell>
          <cell r="BV74">
            <v>0</v>
          </cell>
          <cell r="BW74">
            <v>0</v>
          </cell>
          <cell r="BX74">
            <v>-2105.2171999999991</v>
          </cell>
          <cell r="BY74">
            <v>0</v>
          </cell>
          <cell r="BZ74">
            <v>0</v>
          </cell>
          <cell r="CA74">
            <v>0</v>
          </cell>
          <cell r="CB74">
            <v>0</v>
          </cell>
          <cell r="CC74">
            <v>0</v>
          </cell>
          <cell r="CD74">
            <v>0</v>
          </cell>
          <cell r="CE74">
            <v>-1037.5387999999991</v>
          </cell>
          <cell r="CF74">
            <v>34020.916695056439</v>
          </cell>
          <cell r="CI74">
            <v>0</v>
          </cell>
          <cell r="CJ74">
            <v>0</v>
          </cell>
          <cell r="CK74">
            <v>4485.6400000000003</v>
          </cell>
          <cell r="CL74">
            <v>3562.7903910004861</v>
          </cell>
          <cell r="CM74">
            <v>42069.347086056921</v>
          </cell>
          <cell r="CQ74">
            <v>6855.5786350148364</v>
          </cell>
          <cell r="CR74">
            <v>3416.51</v>
          </cell>
          <cell r="CS74">
            <v>9093.8367068066545</v>
          </cell>
          <cell r="CT74">
            <v>19365.92534182149</v>
          </cell>
          <cell r="CU74">
            <v>9134.8512010215345</v>
          </cell>
          <cell r="CV74">
            <v>0</v>
          </cell>
          <cell r="CW74">
            <v>9134.8512010215345</v>
          </cell>
          <cell r="CX74">
            <v>0</v>
          </cell>
          <cell r="CZ74">
            <v>0</v>
          </cell>
          <cell r="DC74">
            <v>0</v>
          </cell>
          <cell r="DD74">
            <v>41616.468966450775</v>
          </cell>
          <cell r="DE74">
            <v>27513.153184666957</v>
          </cell>
          <cell r="DF74">
            <v>4280.5871237630872</v>
          </cell>
          <cell r="DG74">
            <v>0</v>
          </cell>
          <cell r="DH74">
            <v>0</v>
          </cell>
          <cell r="DI74">
            <v>73410.209274880821</v>
          </cell>
          <cell r="DJ74">
            <v>0</v>
          </cell>
          <cell r="DK74">
            <v>12824</v>
          </cell>
          <cell r="DL74">
            <v>5405.17</v>
          </cell>
          <cell r="DM74">
            <v>70073.495851086889</v>
          </cell>
          <cell r="DN74">
            <v>0</v>
          </cell>
          <cell r="DO74">
            <v>0</v>
          </cell>
          <cell r="DP74">
            <v>0</v>
          </cell>
          <cell r="DQ74">
            <v>88302.665851086887</v>
          </cell>
          <cell r="DR74">
            <v>0</v>
          </cell>
          <cell r="DS74">
            <v>0</v>
          </cell>
          <cell r="DT74">
            <v>0</v>
          </cell>
          <cell r="DU74">
            <v>0</v>
          </cell>
          <cell r="DV74">
            <v>0</v>
          </cell>
          <cell r="DW74">
            <v>0</v>
          </cell>
          <cell r="DX74">
            <v>0</v>
          </cell>
          <cell r="DY74">
            <v>4901.7591636015777</v>
          </cell>
          <cell r="DZ74">
            <v>0</v>
          </cell>
          <cell r="EA74">
            <v>0</v>
          </cell>
          <cell r="EB74">
            <v>4901.7591636015777</v>
          </cell>
          <cell r="EE74">
            <v>0</v>
          </cell>
          <cell r="EH74">
            <v>0</v>
          </cell>
          <cell r="EI74">
            <v>0</v>
          </cell>
          <cell r="EK74">
            <v>0</v>
          </cell>
          <cell r="EL74">
            <v>-2127</v>
          </cell>
          <cell r="EM74">
            <v>0</v>
          </cell>
          <cell r="EO74">
            <v>-2127</v>
          </cell>
          <cell r="EP74">
            <v>0</v>
          </cell>
          <cell r="EQ74">
            <v>99282.066379574433</v>
          </cell>
          <cell r="ER74">
            <v>910096.39934408199</v>
          </cell>
          <cell r="ET74">
            <v>251.2021052631579</v>
          </cell>
          <cell r="EU74">
            <v>3622.964856885535</v>
          </cell>
          <cell r="EV74" t="str">
            <v>No Variation Applied</v>
          </cell>
          <cell r="EW74">
            <v>18600</v>
          </cell>
          <cell r="EX74">
            <v>0</v>
          </cell>
          <cell r="EY74">
            <v>0</v>
          </cell>
          <cell r="EZ74">
            <v>79823.515495143933</v>
          </cell>
        </row>
        <row r="75">
          <cell r="C75" t="str">
            <v>Ravensdale Junior School</v>
          </cell>
          <cell r="D75">
            <v>2463</v>
          </cell>
          <cell r="F75" t="str">
            <v/>
          </cell>
          <cell r="G75">
            <v>0</v>
          </cell>
          <cell r="H75">
            <v>0</v>
          </cell>
          <cell r="I75">
            <v>0</v>
          </cell>
          <cell r="J75">
            <v>0</v>
          </cell>
          <cell r="L75">
            <v>0</v>
          </cell>
          <cell r="M75">
            <v>0</v>
          </cell>
          <cell r="N75">
            <v>0</v>
          </cell>
          <cell r="S75">
            <v>0</v>
          </cell>
          <cell r="T75">
            <v>0</v>
          </cell>
          <cell r="U75">
            <v>0</v>
          </cell>
          <cell r="Y75">
            <v>0</v>
          </cell>
          <cell r="Z75">
            <v>0</v>
          </cell>
          <cell r="AA75">
            <v>72</v>
          </cell>
          <cell r="AB75">
            <v>75</v>
          </cell>
          <cell r="AC75">
            <v>71</v>
          </cell>
          <cell r="AD75">
            <v>60</v>
          </cell>
          <cell r="AK75">
            <v>714266.26980863197</v>
          </cell>
          <cell r="AL75">
            <v>278</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I75">
            <v>0</v>
          </cell>
          <cell r="CJ75">
            <v>0</v>
          </cell>
          <cell r="CK75">
            <v>5642.57</v>
          </cell>
          <cell r="CL75">
            <v>4043.7286187273335</v>
          </cell>
          <cell r="CM75">
            <v>9686.2986187273327</v>
          </cell>
          <cell r="CQ75">
            <v>2285.1928783382787</v>
          </cell>
          <cell r="CR75">
            <v>4220.3999999999996</v>
          </cell>
          <cell r="CS75">
            <v>7881.3251458990999</v>
          </cell>
          <cell r="CT75">
            <v>14386.918024237379</v>
          </cell>
          <cell r="CU75">
            <v>9134.8512010215345</v>
          </cell>
          <cell r="CV75">
            <v>0</v>
          </cell>
          <cell r="CW75">
            <v>9134.8512010215345</v>
          </cell>
          <cell r="CX75">
            <v>0</v>
          </cell>
          <cell r="CZ75">
            <v>0</v>
          </cell>
          <cell r="DC75">
            <v>0</v>
          </cell>
          <cell r="DD75">
            <v>45834.155048805456</v>
          </cell>
          <cell r="DE75">
            <v>17280.988777146187</v>
          </cell>
          <cell r="DF75">
            <v>2568.3522742578525</v>
          </cell>
          <cell r="DG75">
            <v>0</v>
          </cell>
          <cell r="DH75">
            <v>0</v>
          </cell>
          <cell r="DI75">
            <v>65683.496100209493</v>
          </cell>
          <cell r="DJ75">
            <v>0</v>
          </cell>
          <cell r="DK75">
            <v>12824</v>
          </cell>
          <cell r="DL75">
            <v>4623.2299999999996</v>
          </cell>
          <cell r="DM75">
            <v>70073.495851086889</v>
          </cell>
          <cell r="DN75">
            <v>0</v>
          </cell>
          <cell r="DO75">
            <v>0</v>
          </cell>
          <cell r="DP75">
            <v>0</v>
          </cell>
          <cell r="DQ75">
            <v>87520.725851086885</v>
          </cell>
          <cell r="DR75">
            <v>0</v>
          </cell>
          <cell r="DS75">
            <v>0</v>
          </cell>
          <cell r="DT75">
            <v>0</v>
          </cell>
          <cell r="DU75">
            <v>0</v>
          </cell>
          <cell r="DV75">
            <v>0</v>
          </cell>
          <cell r="DW75">
            <v>0</v>
          </cell>
          <cell r="DX75">
            <v>0</v>
          </cell>
          <cell r="DY75">
            <v>1633.9197212005261</v>
          </cell>
          <cell r="DZ75">
            <v>0</v>
          </cell>
          <cell r="EA75">
            <v>0</v>
          </cell>
          <cell r="EB75">
            <v>1633.9197212005261</v>
          </cell>
          <cell r="EE75">
            <v>0</v>
          </cell>
          <cell r="EH75">
            <v>0</v>
          </cell>
          <cell r="EI75">
            <v>0</v>
          </cell>
          <cell r="EK75">
            <v>0</v>
          </cell>
          <cell r="EL75">
            <v>0</v>
          </cell>
          <cell r="EM75">
            <v>0</v>
          </cell>
          <cell r="EO75">
            <v>0</v>
          </cell>
          <cell r="EP75">
            <v>0</v>
          </cell>
          <cell r="EQ75">
            <v>0</v>
          </cell>
          <cell r="ER75">
            <v>902312.47932511522</v>
          </cell>
          <cell r="ET75">
            <v>278</v>
          </cell>
          <cell r="EU75">
            <v>3245.7283428960977</v>
          </cell>
          <cell r="EV75" t="str">
            <v>No Variation Applied</v>
          </cell>
          <cell r="EW75">
            <v>29050</v>
          </cell>
          <cell r="EX75">
            <v>0</v>
          </cell>
          <cell r="EY75">
            <v>0</v>
          </cell>
          <cell r="EZ75">
            <v>77337.278475077095</v>
          </cell>
        </row>
        <row r="76">
          <cell r="C76" t="str">
            <v>Asterdale Primary School</v>
          </cell>
          <cell r="D76">
            <v>2464</v>
          </cell>
          <cell r="F76" t="str">
            <v/>
          </cell>
          <cell r="G76">
            <v>0</v>
          </cell>
          <cell r="H76">
            <v>24480</v>
          </cell>
          <cell r="I76">
            <v>0</v>
          </cell>
          <cell r="J76">
            <v>0</v>
          </cell>
          <cell r="L76">
            <v>85592.636790603021</v>
          </cell>
          <cell r="M76">
            <v>24480</v>
          </cell>
          <cell r="N76">
            <v>25.768421052631577</v>
          </cell>
          <cell r="S76">
            <v>0</v>
          </cell>
          <cell r="T76">
            <v>0</v>
          </cell>
          <cell r="U76">
            <v>30</v>
          </cell>
          <cell r="Y76">
            <v>30</v>
          </cell>
          <cell r="Z76">
            <v>19</v>
          </cell>
          <cell r="AA76">
            <v>24</v>
          </cell>
          <cell r="AB76">
            <v>22</v>
          </cell>
          <cell r="AC76">
            <v>20</v>
          </cell>
          <cell r="AD76">
            <v>24</v>
          </cell>
          <cell r="AK76">
            <v>438506.81433442369</v>
          </cell>
          <cell r="AL76">
            <v>169</v>
          </cell>
          <cell r="BS76">
            <v>3249.4560000000001</v>
          </cell>
          <cell r="BT76">
            <v>0</v>
          </cell>
          <cell r="BU76">
            <v>0</v>
          </cell>
          <cell r="BV76">
            <v>0</v>
          </cell>
          <cell r="BW76">
            <v>0</v>
          </cell>
          <cell r="BX76">
            <v>-9654.2710156044486</v>
          </cell>
          <cell r="BY76">
            <v>0</v>
          </cell>
          <cell r="BZ76">
            <v>0</v>
          </cell>
          <cell r="CA76">
            <v>0</v>
          </cell>
          <cell r="CB76">
            <v>0</v>
          </cell>
          <cell r="CC76">
            <v>0</v>
          </cell>
          <cell r="CD76">
            <v>0</v>
          </cell>
          <cell r="CE76">
            <v>-6404.8150156044485</v>
          </cell>
          <cell r="CF76">
            <v>11340.305565018814</v>
          </cell>
          <cell r="CI76">
            <v>0</v>
          </cell>
          <cell r="CJ76">
            <v>0</v>
          </cell>
          <cell r="CK76">
            <v>3430.19</v>
          </cell>
          <cell r="CL76">
            <v>2962.5794827973805</v>
          </cell>
          <cell r="CM76">
            <v>17733.075047816194</v>
          </cell>
          <cell r="CQ76">
            <v>3046.9238377843717</v>
          </cell>
          <cell r="CR76">
            <v>602.91</v>
          </cell>
          <cell r="CS76">
            <v>2829.1936421176256</v>
          </cell>
          <cell r="CT76">
            <v>6479.0274799019971</v>
          </cell>
          <cell r="CU76">
            <v>0</v>
          </cell>
          <cell r="CV76">
            <v>0</v>
          </cell>
          <cell r="CW76">
            <v>0</v>
          </cell>
          <cell r="CX76">
            <v>0</v>
          </cell>
          <cell r="CZ76">
            <v>0</v>
          </cell>
          <cell r="DC76">
            <v>0</v>
          </cell>
          <cell r="DD76">
            <v>66775.113919237818</v>
          </cell>
          <cell r="DE76">
            <v>24102.431715493367</v>
          </cell>
          <cell r="DF76">
            <v>14553.996220794497</v>
          </cell>
          <cell r="DG76">
            <v>0</v>
          </cell>
          <cell r="DH76">
            <v>0</v>
          </cell>
          <cell r="DI76">
            <v>105431.54185552568</v>
          </cell>
          <cell r="DJ76">
            <v>0</v>
          </cell>
          <cell r="DK76">
            <v>12137</v>
          </cell>
          <cell r="DL76">
            <v>5904.43</v>
          </cell>
          <cell r="DM76">
            <v>74722.185859261808</v>
          </cell>
          <cell r="DN76">
            <v>0</v>
          </cell>
          <cell r="DO76">
            <v>0</v>
          </cell>
          <cell r="DP76">
            <v>0</v>
          </cell>
          <cell r="DQ76">
            <v>92763.615859261801</v>
          </cell>
          <cell r="DR76">
            <v>0</v>
          </cell>
          <cell r="DS76">
            <v>0</v>
          </cell>
          <cell r="DT76">
            <v>0</v>
          </cell>
          <cell r="DU76">
            <v>0</v>
          </cell>
          <cell r="DV76">
            <v>0</v>
          </cell>
          <cell r="DW76">
            <v>0</v>
          </cell>
          <cell r="DX76">
            <v>0</v>
          </cell>
          <cell r="DY76">
            <v>3594.6233866411571</v>
          </cell>
          <cell r="DZ76">
            <v>0</v>
          </cell>
          <cell r="EA76">
            <v>0</v>
          </cell>
          <cell r="EB76">
            <v>3594.6233866411571</v>
          </cell>
          <cell r="EE76">
            <v>0</v>
          </cell>
          <cell r="EH76">
            <v>0</v>
          </cell>
          <cell r="EI76">
            <v>0</v>
          </cell>
          <cell r="EK76">
            <v>0</v>
          </cell>
          <cell r="EL76">
            <v>0</v>
          </cell>
          <cell r="EM76">
            <v>0</v>
          </cell>
          <cell r="EO76">
            <v>0</v>
          </cell>
          <cell r="EP76">
            <v>56501.791736711632</v>
          </cell>
          <cell r="EQ76">
            <v>79187.821774998578</v>
          </cell>
          <cell r="ER76">
            <v>800198.31147528079</v>
          </cell>
          <cell r="ET76">
            <v>194.76842105263157</v>
          </cell>
          <cell r="EU76">
            <v>4108.4602275388679</v>
          </cell>
          <cell r="EV76" t="str">
            <v>No Variation Applied</v>
          </cell>
          <cell r="EW76">
            <v>33850</v>
          </cell>
          <cell r="EX76">
            <v>0</v>
          </cell>
          <cell r="EY76">
            <v>0</v>
          </cell>
          <cell r="EZ76">
            <v>95662.088380269473</v>
          </cell>
        </row>
        <row r="77">
          <cell r="C77" t="str">
            <v>Springfield Primary School</v>
          </cell>
          <cell r="D77">
            <v>2466</v>
          </cell>
          <cell r="F77" t="str">
            <v/>
          </cell>
          <cell r="G77">
            <v>0</v>
          </cell>
          <cell r="H77">
            <v>0</v>
          </cell>
          <cell r="I77">
            <v>0</v>
          </cell>
          <cell r="J77">
            <v>0</v>
          </cell>
          <cell r="L77">
            <v>0</v>
          </cell>
          <cell r="M77">
            <v>0</v>
          </cell>
          <cell r="N77">
            <v>0</v>
          </cell>
          <cell r="S77">
            <v>0</v>
          </cell>
          <cell r="T77">
            <v>0</v>
          </cell>
          <cell r="U77">
            <v>27</v>
          </cell>
          <cell r="Y77">
            <v>17</v>
          </cell>
          <cell r="Z77">
            <v>5</v>
          </cell>
          <cell r="AA77">
            <v>28</v>
          </cell>
          <cell r="AB77">
            <v>17</v>
          </cell>
          <cell r="AC77">
            <v>20</v>
          </cell>
          <cell r="AD77">
            <v>23</v>
          </cell>
          <cell r="AK77">
            <v>358488.97290738375</v>
          </cell>
          <cell r="AL77">
            <v>137</v>
          </cell>
          <cell r="BS77">
            <v>0</v>
          </cell>
          <cell r="BT77">
            <v>0</v>
          </cell>
          <cell r="BU77">
            <v>0</v>
          </cell>
          <cell r="BV77">
            <v>0</v>
          </cell>
          <cell r="BW77">
            <v>0</v>
          </cell>
          <cell r="BX77">
            <v>0</v>
          </cell>
          <cell r="BY77">
            <v>0</v>
          </cell>
          <cell r="BZ77">
            <v>0</v>
          </cell>
          <cell r="CA77">
            <v>0</v>
          </cell>
          <cell r="CB77">
            <v>0</v>
          </cell>
          <cell r="CC77">
            <v>0</v>
          </cell>
          <cell r="CD77">
            <v>0</v>
          </cell>
          <cell r="CE77">
            <v>0</v>
          </cell>
          <cell r="CF77">
            <v>11340.305565018814</v>
          </cell>
          <cell r="CI77">
            <v>0</v>
          </cell>
          <cell r="CJ77">
            <v>0</v>
          </cell>
          <cell r="CK77">
            <v>2780.69</v>
          </cell>
          <cell r="CL77">
            <v>961.87645545369503</v>
          </cell>
          <cell r="CM77">
            <v>15082.87202047251</v>
          </cell>
          <cell r="CQ77">
            <v>3808.6547972304647</v>
          </cell>
          <cell r="CR77">
            <v>602.91</v>
          </cell>
          <cell r="CS77">
            <v>2829.1936421176256</v>
          </cell>
          <cell r="CT77">
            <v>7240.7584393480902</v>
          </cell>
          <cell r="CU77">
            <v>21022.671257145448</v>
          </cell>
          <cell r="CV77">
            <v>0</v>
          </cell>
          <cell r="CW77">
            <v>21022.671257145448</v>
          </cell>
          <cell r="CX77">
            <v>0</v>
          </cell>
          <cell r="CZ77">
            <v>0</v>
          </cell>
          <cell r="DC77">
            <v>0</v>
          </cell>
          <cell r="DD77">
            <v>35820.837391746609</v>
          </cell>
          <cell r="DE77">
            <v>6594.06150706894</v>
          </cell>
          <cell r="DF77">
            <v>3424.4696990104699</v>
          </cell>
          <cell r="DG77">
            <v>0</v>
          </cell>
          <cell r="DH77">
            <v>0</v>
          </cell>
          <cell r="DI77">
            <v>45839.368597826018</v>
          </cell>
          <cell r="DJ77">
            <v>0</v>
          </cell>
          <cell r="DK77">
            <v>11450</v>
          </cell>
          <cell r="DL77">
            <v>4226.3500000000004</v>
          </cell>
          <cell r="DM77">
            <v>74722.185859261808</v>
          </cell>
          <cell r="DN77">
            <v>0</v>
          </cell>
          <cell r="DO77">
            <v>0</v>
          </cell>
          <cell r="DP77">
            <v>0</v>
          </cell>
          <cell r="DQ77">
            <v>90398.535859261814</v>
          </cell>
          <cell r="DR77">
            <v>0</v>
          </cell>
          <cell r="DS77">
            <v>0</v>
          </cell>
          <cell r="DT77">
            <v>0</v>
          </cell>
          <cell r="DU77">
            <v>0</v>
          </cell>
          <cell r="DV77">
            <v>0</v>
          </cell>
          <cell r="DW77">
            <v>0</v>
          </cell>
          <cell r="DX77">
            <v>0</v>
          </cell>
          <cell r="DY77">
            <v>5555.3270520817887</v>
          </cell>
          <cell r="DZ77">
            <v>0</v>
          </cell>
          <cell r="EA77">
            <v>6494.1886918701339</v>
          </cell>
          <cell r="EB77">
            <v>12049.515743951923</v>
          </cell>
          <cell r="EE77">
            <v>0</v>
          </cell>
          <cell r="EH77">
            <v>0</v>
          </cell>
          <cell r="EI77">
            <v>3271.3254999999999</v>
          </cell>
          <cell r="EK77">
            <v>0</v>
          </cell>
          <cell r="EL77">
            <v>4255</v>
          </cell>
          <cell r="EM77">
            <v>0</v>
          </cell>
          <cell r="EO77">
            <v>7526.3254999999999</v>
          </cell>
          <cell r="EP77">
            <v>16662.874748644535</v>
          </cell>
          <cell r="EQ77">
            <v>0</v>
          </cell>
          <cell r="ER77">
            <v>574311.89507403411</v>
          </cell>
          <cell r="ET77">
            <v>137</v>
          </cell>
          <cell r="EU77">
            <v>4192.057628277621</v>
          </cell>
          <cell r="EV77" t="str">
            <v>No Variation Applied</v>
          </cell>
          <cell r="EW77">
            <v>23400</v>
          </cell>
          <cell r="EX77">
            <v>0</v>
          </cell>
          <cell r="EY77">
            <v>0</v>
          </cell>
          <cell r="EZ77">
            <v>75981.186050269171</v>
          </cell>
        </row>
        <row r="78">
          <cell r="C78" t="str">
            <v>Chaddesden Park Infant School</v>
          </cell>
          <cell r="D78">
            <v>2467</v>
          </cell>
          <cell r="F78" t="str">
            <v/>
          </cell>
          <cell r="G78">
            <v>0</v>
          </cell>
          <cell r="H78">
            <v>28110</v>
          </cell>
          <cell r="I78">
            <v>0</v>
          </cell>
          <cell r="J78">
            <v>0</v>
          </cell>
          <cell r="L78">
            <v>98284.682197052738</v>
          </cell>
          <cell r="M78">
            <v>28110</v>
          </cell>
          <cell r="N78">
            <v>29.589473684210525</v>
          </cell>
          <cell r="S78">
            <v>0</v>
          </cell>
          <cell r="T78">
            <v>0</v>
          </cell>
          <cell r="U78">
            <v>54</v>
          </cell>
          <cell r="Y78">
            <v>60</v>
          </cell>
          <cell r="Z78">
            <v>43</v>
          </cell>
          <cell r="AA78">
            <v>0</v>
          </cell>
          <cell r="AB78">
            <v>0</v>
          </cell>
          <cell r="AC78">
            <v>0</v>
          </cell>
          <cell r="AD78">
            <v>0</v>
          </cell>
          <cell r="AK78">
            <v>409350.03549839929</v>
          </cell>
          <cell r="AL78">
            <v>157</v>
          </cell>
          <cell r="BS78">
            <v>7852.8519999999999</v>
          </cell>
          <cell r="BT78">
            <v>0</v>
          </cell>
          <cell r="BU78">
            <v>116.05200000000001</v>
          </cell>
          <cell r="BV78">
            <v>0</v>
          </cell>
          <cell r="BW78">
            <v>0</v>
          </cell>
          <cell r="BX78">
            <v>7343.5443999999989</v>
          </cell>
          <cell r="BY78">
            <v>0</v>
          </cell>
          <cell r="BZ78">
            <v>3011.5493999999999</v>
          </cell>
          <cell r="CA78">
            <v>0</v>
          </cell>
          <cell r="CB78">
            <v>0</v>
          </cell>
          <cell r="CC78">
            <v>0</v>
          </cell>
          <cell r="CD78">
            <v>0</v>
          </cell>
          <cell r="CE78">
            <v>18323.997799999997</v>
          </cell>
          <cell r="CF78">
            <v>22680.611130037629</v>
          </cell>
          <cell r="CI78">
            <v>0</v>
          </cell>
          <cell r="CJ78">
            <v>0</v>
          </cell>
          <cell r="CK78">
            <v>3186.63</v>
          </cell>
          <cell r="CL78">
            <v>1569.7823753004302</v>
          </cell>
          <cell r="CM78">
            <v>27437.02350533806</v>
          </cell>
          <cell r="CQ78">
            <v>2285.1928783382787</v>
          </cell>
          <cell r="CR78">
            <v>401.94</v>
          </cell>
          <cell r="CS78">
            <v>1818.7673413613309</v>
          </cell>
          <cell r="CT78">
            <v>4505.9002196996098</v>
          </cell>
          <cell r="CU78">
            <v>0</v>
          </cell>
          <cell r="CV78">
            <v>0</v>
          </cell>
          <cell r="CW78">
            <v>0</v>
          </cell>
          <cell r="CX78">
            <v>0</v>
          </cell>
          <cell r="CZ78">
            <v>0</v>
          </cell>
          <cell r="DC78">
            <v>0</v>
          </cell>
          <cell r="DD78">
            <v>53443.686582004826</v>
          </cell>
          <cell r="DE78">
            <v>42747.709080308989</v>
          </cell>
          <cell r="DF78">
            <v>6848.9393980209397</v>
          </cell>
          <cell r="DG78">
            <v>0</v>
          </cell>
          <cell r="DH78">
            <v>0</v>
          </cell>
          <cell r="DI78">
            <v>103040.33506033476</v>
          </cell>
          <cell r="DJ78">
            <v>0</v>
          </cell>
          <cell r="DK78">
            <v>6125.75</v>
          </cell>
          <cell r="DL78">
            <v>2139.83</v>
          </cell>
          <cell r="DM78">
            <v>74722.185859261808</v>
          </cell>
          <cell r="DN78">
            <v>0</v>
          </cell>
          <cell r="DO78">
            <v>0</v>
          </cell>
          <cell r="DP78">
            <v>0</v>
          </cell>
          <cell r="DQ78">
            <v>82987.76585926181</v>
          </cell>
          <cell r="DR78">
            <v>0</v>
          </cell>
          <cell r="DS78">
            <v>0</v>
          </cell>
          <cell r="DT78">
            <v>0</v>
          </cell>
          <cell r="DU78">
            <v>0</v>
          </cell>
          <cell r="DV78">
            <v>0</v>
          </cell>
          <cell r="DW78">
            <v>0</v>
          </cell>
          <cell r="DX78">
            <v>0</v>
          </cell>
          <cell r="DY78">
            <v>4574.9752193614731</v>
          </cell>
          <cell r="DZ78">
            <v>0</v>
          </cell>
          <cell r="EA78">
            <v>0</v>
          </cell>
          <cell r="EB78">
            <v>4574.9752193614731</v>
          </cell>
          <cell r="EE78">
            <v>0</v>
          </cell>
          <cell r="EH78">
            <v>0</v>
          </cell>
          <cell r="EI78">
            <v>0</v>
          </cell>
          <cell r="EK78">
            <v>0</v>
          </cell>
          <cell r="EL78">
            <v>0</v>
          </cell>
          <cell r="EM78">
            <v>0</v>
          </cell>
          <cell r="EO78">
            <v>0</v>
          </cell>
          <cell r="EP78">
            <v>0</v>
          </cell>
          <cell r="EQ78">
            <v>116608.67999705274</v>
          </cell>
          <cell r="ER78">
            <v>748504.71535944776</v>
          </cell>
          <cell r="ET78">
            <v>186.58947368421053</v>
          </cell>
          <cell r="EU78">
            <v>4011.5055827116967</v>
          </cell>
          <cell r="EV78" t="str">
            <v>No Variation Applied</v>
          </cell>
          <cell r="EW78">
            <v>23650</v>
          </cell>
          <cell r="EX78">
            <v>0</v>
          </cell>
          <cell r="EY78">
            <v>0</v>
          </cell>
          <cell r="EZ78">
            <v>77267.529557503192</v>
          </cell>
        </row>
        <row r="79">
          <cell r="C79" t="str">
            <v>Silverhill Primary School</v>
          </cell>
          <cell r="D79">
            <v>2469</v>
          </cell>
          <cell r="F79" t="str">
            <v/>
          </cell>
          <cell r="G79">
            <v>0</v>
          </cell>
          <cell r="H79">
            <v>0</v>
          </cell>
          <cell r="I79">
            <v>0</v>
          </cell>
          <cell r="J79">
            <v>0</v>
          </cell>
          <cell r="L79">
            <v>0</v>
          </cell>
          <cell r="M79">
            <v>0</v>
          </cell>
          <cell r="N79">
            <v>0</v>
          </cell>
          <cell r="S79">
            <v>0</v>
          </cell>
          <cell r="T79">
            <v>0</v>
          </cell>
          <cell r="U79">
            <v>54</v>
          </cell>
          <cell r="Y79">
            <v>51</v>
          </cell>
          <cell r="Z79">
            <v>58</v>
          </cell>
          <cell r="AA79">
            <v>58</v>
          </cell>
          <cell r="AB79">
            <v>53</v>
          </cell>
          <cell r="AC79">
            <v>50</v>
          </cell>
          <cell r="AD79">
            <v>40</v>
          </cell>
          <cell r="AK79">
            <v>940481.94137394987</v>
          </cell>
          <cell r="AL79">
            <v>364</v>
          </cell>
          <cell r="BS79">
            <v>0</v>
          </cell>
          <cell r="BT79">
            <v>0</v>
          </cell>
          <cell r="BU79">
            <v>0</v>
          </cell>
          <cell r="BV79">
            <v>0</v>
          </cell>
          <cell r="BW79">
            <v>0</v>
          </cell>
          <cell r="BX79">
            <v>0</v>
          </cell>
          <cell r="BY79">
            <v>0</v>
          </cell>
          <cell r="BZ79">
            <v>0</v>
          </cell>
          <cell r="CA79">
            <v>0</v>
          </cell>
          <cell r="CB79">
            <v>0</v>
          </cell>
          <cell r="CC79">
            <v>0</v>
          </cell>
          <cell r="CD79">
            <v>0</v>
          </cell>
          <cell r="CE79">
            <v>0</v>
          </cell>
          <cell r="CF79">
            <v>34020.916695056439</v>
          </cell>
          <cell r="CI79">
            <v>0</v>
          </cell>
          <cell r="CJ79">
            <v>0</v>
          </cell>
          <cell r="CK79">
            <v>7388.11</v>
          </cell>
          <cell r="CL79">
            <v>5036.3851207555472</v>
          </cell>
          <cell r="CM79">
            <v>46445.411815811989</v>
          </cell>
          <cell r="CQ79">
            <v>3046.9238377843717</v>
          </cell>
          <cell r="CR79">
            <v>3416.51</v>
          </cell>
          <cell r="CS79">
            <v>13337.627169983092</v>
          </cell>
          <cell r="CT79">
            <v>19801.061007767465</v>
          </cell>
          <cell r="CU79">
            <v>13014.034587756705</v>
          </cell>
          <cell r="CV79">
            <v>9009.7162530623336</v>
          </cell>
          <cell r="CW79">
            <v>22023.750840819041</v>
          </cell>
          <cell r="CX79">
            <v>0</v>
          </cell>
          <cell r="CZ79">
            <v>0</v>
          </cell>
          <cell r="DC79">
            <v>0</v>
          </cell>
          <cell r="DD79">
            <v>48636.114334285841</v>
          </cell>
          <cell r="DE79">
            <v>24784.576009328084</v>
          </cell>
          <cell r="DF79">
            <v>4280.5871237630872</v>
          </cell>
          <cell r="DG79">
            <v>0</v>
          </cell>
          <cell r="DH79">
            <v>0</v>
          </cell>
          <cell r="DI79">
            <v>77701.277467377018</v>
          </cell>
          <cell r="DJ79">
            <v>0</v>
          </cell>
          <cell r="DK79">
            <v>13396.5</v>
          </cell>
          <cell r="DL79">
            <v>4408.53</v>
          </cell>
          <cell r="DM79">
            <v>70073.495851086889</v>
          </cell>
          <cell r="DN79">
            <v>0</v>
          </cell>
          <cell r="DO79">
            <v>0</v>
          </cell>
          <cell r="DP79">
            <v>0</v>
          </cell>
          <cell r="DQ79">
            <v>87878.525851086888</v>
          </cell>
          <cell r="DR79">
            <v>0</v>
          </cell>
          <cell r="DS79">
            <v>0</v>
          </cell>
          <cell r="DT79">
            <v>0</v>
          </cell>
          <cell r="DU79">
            <v>0</v>
          </cell>
          <cell r="DV79">
            <v>0</v>
          </cell>
          <cell r="DW79">
            <v>0</v>
          </cell>
          <cell r="DX79">
            <v>0</v>
          </cell>
          <cell r="DY79">
            <v>11437.438048403683</v>
          </cell>
          <cell r="DZ79">
            <v>0</v>
          </cell>
          <cell r="EA79">
            <v>0</v>
          </cell>
          <cell r="EB79">
            <v>11437.438048403683</v>
          </cell>
          <cell r="EE79">
            <v>0</v>
          </cell>
          <cell r="EH79">
            <v>0</v>
          </cell>
          <cell r="EI79">
            <v>8672.2829999999994</v>
          </cell>
          <cell r="EK79">
            <v>0</v>
          </cell>
          <cell r="EL79">
            <v>2252</v>
          </cell>
          <cell r="EM79">
            <v>0</v>
          </cell>
          <cell r="EO79">
            <v>10924.282999999999</v>
          </cell>
          <cell r="EP79">
            <v>0</v>
          </cell>
          <cell r="EQ79">
            <v>0</v>
          </cell>
          <cell r="ER79">
            <v>1216693.6894052161</v>
          </cell>
          <cell r="ET79">
            <v>364</v>
          </cell>
          <cell r="EU79">
            <v>3342.5650807835609</v>
          </cell>
          <cell r="EV79" t="str">
            <v>No Variation Applied</v>
          </cell>
          <cell r="EW79">
            <v>30600</v>
          </cell>
          <cell r="EX79">
            <v>0</v>
          </cell>
          <cell r="EY79">
            <v>0</v>
          </cell>
          <cell r="EZ79">
            <v>108108.90791141952</v>
          </cell>
        </row>
        <row r="80">
          <cell r="C80" t="str">
            <v>Oakwood Junior School</v>
          </cell>
          <cell r="D80">
            <v>2471</v>
          </cell>
          <cell r="F80" t="str">
            <v/>
          </cell>
          <cell r="G80">
            <v>0</v>
          </cell>
          <cell r="H80">
            <v>0</v>
          </cell>
          <cell r="I80">
            <v>0</v>
          </cell>
          <cell r="J80">
            <v>0</v>
          </cell>
          <cell r="L80">
            <v>0</v>
          </cell>
          <cell r="M80">
            <v>0</v>
          </cell>
          <cell r="N80">
            <v>0</v>
          </cell>
          <cell r="S80">
            <v>0</v>
          </cell>
          <cell r="T80">
            <v>0</v>
          </cell>
          <cell r="U80">
            <v>0</v>
          </cell>
          <cell r="Y80">
            <v>0</v>
          </cell>
          <cell r="Z80">
            <v>0</v>
          </cell>
          <cell r="AA80">
            <v>91</v>
          </cell>
          <cell r="AB80">
            <v>81</v>
          </cell>
          <cell r="AC80">
            <v>90</v>
          </cell>
          <cell r="AD80">
            <v>82</v>
          </cell>
          <cell r="AK80">
            <v>883840.2763099618</v>
          </cell>
          <cell r="AL80">
            <v>344</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I80">
            <v>0</v>
          </cell>
          <cell r="CJ80">
            <v>0</v>
          </cell>
          <cell r="CK80">
            <v>6982.17</v>
          </cell>
          <cell r="CL80">
            <v>3027.0252053127783</v>
          </cell>
          <cell r="CM80">
            <v>10009.195205312779</v>
          </cell>
          <cell r="CQ80">
            <v>8379.0405539070216</v>
          </cell>
          <cell r="CR80">
            <v>2210.69</v>
          </cell>
          <cell r="CS80">
            <v>5860.47254438651</v>
          </cell>
          <cell r="CT80">
            <v>16450.203098293532</v>
          </cell>
          <cell r="CU80">
            <v>9760.525940817528</v>
          </cell>
          <cell r="CV80">
            <v>0</v>
          </cell>
          <cell r="CW80">
            <v>9760.525940817528</v>
          </cell>
          <cell r="CX80">
            <v>0</v>
          </cell>
          <cell r="CZ80">
            <v>0</v>
          </cell>
          <cell r="DC80">
            <v>0</v>
          </cell>
          <cell r="DD80">
            <v>133771.43515048723</v>
          </cell>
          <cell r="DE80">
            <v>118010.9628334062</v>
          </cell>
          <cell r="DF80">
            <v>12841.761371289262</v>
          </cell>
          <cell r="DG80">
            <v>0</v>
          </cell>
          <cell r="DH80">
            <v>0</v>
          </cell>
          <cell r="DI80">
            <v>264624.15935518267</v>
          </cell>
          <cell r="DJ80">
            <v>0</v>
          </cell>
          <cell r="DK80">
            <v>14198</v>
          </cell>
          <cell r="DL80">
            <v>10447.42</v>
          </cell>
          <cell r="DM80">
            <v>70073.495851086889</v>
          </cell>
          <cell r="DN80">
            <v>0</v>
          </cell>
          <cell r="DO80">
            <v>0</v>
          </cell>
          <cell r="DP80">
            <v>0</v>
          </cell>
          <cell r="DQ80">
            <v>94718.915851086887</v>
          </cell>
          <cell r="DR80">
            <v>0</v>
          </cell>
          <cell r="DS80">
            <v>0</v>
          </cell>
          <cell r="DT80">
            <v>0</v>
          </cell>
          <cell r="DU80">
            <v>0</v>
          </cell>
          <cell r="DV80">
            <v>0</v>
          </cell>
          <cell r="DW80">
            <v>0</v>
          </cell>
          <cell r="DX80">
            <v>0</v>
          </cell>
          <cell r="DY80">
            <v>5882.1109963218933</v>
          </cell>
          <cell r="DZ80">
            <v>0</v>
          </cell>
          <cell r="EA80">
            <v>0</v>
          </cell>
          <cell r="EB80">
            <v>5882.1109963218933</v>
          </cell>
          <cell r="EE80">
            <v>0</v>
          </cell>
          <cell r="EH80">
            <v>0</v>
          </cell>
          <cell r="EI80">
            <v>0</v>
          </cell>
          <cell r="EK80">
            <v>0</v>
          </cell>
          <cell r="EL80">
            <v>2377</v>
          </cell>
          <cell r="EM80">
            <v>0</v>
          </cell>
          <cell r="EO80">
            <v>2377</v>
          </cell>
          <cell r="EP80">
            <v>0</v>
          </cell>
          <cell r="EQ80">
            <v>0</v>
          </cell>
          <cell r="ER80">
            <v>1287662.3867569773</v>
          </cell>
          <cell r="ET80">
            <v>344</v>
          </cell>
          <cell r="EU80">
            <v>3743.2046126656319</v>
          </cell>
          <cell r="EV80" t="str">
            <v>No Variation Applied</v>
          </cell>
          <cell r="EW80">
            <v>84500</v>
          </cell>
          <cell r="EX80">
            <v>0</v>
          </cell>
          <cell r="EY80">
            <v>0</v>
          </cell>
          <cell r="EZ80">
            <v>187274.26951246319</v>
          </cell>
        </row>
        <row r="81">
          <cell r="C81" t="str">
            <v>Oakwood Infant and Nursery School</v>
          </cell>
          <cell r="D81">
            <v>2473</v>
          </cell>
          <cell r="F81" t="str">
            <v/>
          </cell>
          <cell r="G81">
            <v>0</v>
          </cell>
          <cell r="H81">
            <v>41640</v>
          </cell>
          <cell r="I81">
            <v>0</v>
          </cell>
          <cell r="J81">
            <v>0</v>
          </cell>
          <cell r="L81">
            <v>145591.39689381985</v>
          </cell>
          <cell r="M81">
            <v>41640</v>
          </cell>
          <cell r="N81">
            <v>43.831578947368421</v>
          </cell>
          <cell r="S81">
            <v>0</v>
          </cell>
          <cell r="T81">
            <v>0</v>
          </cell>
          <cell r="U81">
            <v>90</v>
          </cell>
          <cell r="Y81">
            <v>91</v>
          </cell>
          <cell r="Z81">
            <v>85</v>
          </cell>
          <cell r="AA81">
            <v>0</v>
          </cell>
          <cell r="AB81">
            <v>0</v>
          </cell>
          <cell r="AC81">
            <v>0</v>
          </cell>
          <cell r="AD81">
            <v>0</v>
          </cell>
          <cell r="AK81">
            <v>692868.15365326428</v>
          </cell>
          <cell r="AL81">
            <v>266</v>
          </cell>
          <cell r="BS81">
            <v>13810.188</v>
          </cell>
          <cell r="BT81">
            <v>0</v>
          </cell>
          <cell r="BU81">
            <v>0</v>
          </cell>
          <cell r="BV81">
            <v>0</v>
          </cell>
          <cell r="BW81">
            <v>0</v>
          </cell>
          <cell r="BX81">
            <v>-10364.731599999999</v>
          </cell>
          <cell r="BY81">
            <v>0</v>
          </cell>
          <cell r="BZ81">
            <v>7026.9486000000006</v>
          </cell>
          <cell r="CA81">
            <v>0</v>
          </cell>
          <cell r="CB81">
            <v>0</v>
          </cell>
          <cell r="CC81">
            <v>0</v>
          </cell>
          <cell r="CD81">
            <v>0</v>
          </cell>
          <cell r="CE81">
            <v>10472.405000000002</v>
          </cell>
          <cell r="CF81">
            <v>34020.916695056439</v>
          </cell>
          <cell r="CI81">
            <v>0</v>
          </cell>
          <cell r="CJ81">
            <v>0</v>
          </cell>
          <cell r="CK81">
            <v>5399</v>
          </cell>
          <cell r="CL81">
            <v>2552.8201127741063</v>
          </cell>
          <cell r="CM81">
            <v>41972.736807830544</v>
          </cell>
          <cell r="CQ81">
            <v>3046.9238377843717</v>
          </cell>
          <cell r="CR81">
            <v>1205.83</v>
          </cell>
          <cell r="CS81">
            <v>5658.3872842352512</v>
          </cell>
          <cell r="CT81">
            <v>9911.1411220196242</v>
          </cell>
          <cell r="CU81">
            <v>15892.138390818283</v>
          </cell>
          <cell r="CV81">
            <v>0</v>
          </cell>
          <cell r="CW81">
            <v>15892.138390818283</v>
          </cell>
          <cell r="CX81">
            <v>0</v>
          </cell>
          <cell r="CZ81">
            <v>0</v>
          </cell>
          <cell r="DC81">
            <v>0</v>
          </cell>
          <cell r="DD81">
            <v>110352.95438552485</v>
          </cell>
          <cell r="DE81">
            <v>103231.16980032065</v>
          </cell>
          <cell r="DF81">
            <v>9417.2916722787922</v>
          </cell>
          <cell r="DG81">
            <v>0</v>
          </cell>
          <cell r="DH81">
            <v>0</v>
          </cell>
          <cell r="DI81">
            <v>223001.41585812427</v>
          </cell>
          <cell r="DJ81">
            <v>0</v>
          </cell>
          <cell r="DK81">
            <v>14198</v>
          </cell>
          <cell r="DL81">
            <v>7738.49</v>
          </cell>
          <cell r="DM81">
            <v>70073.495851086889</v>
          </cell>
          <cell r="DN81">
            <v>0</v>
          </cell>
          <cell r="DO81">
            <v>0</v>
          </cell>
          <cell r="DP81">
            <v>0</v>
          </cell>
          <cell r="DQ81">
            <v>92009.98585108688</v>
          </cell>
          <cell r="DR81">
            <v>0</v>
          </cell>
          <cell r="DS81">
            <v>0</v>
          </cell>
          <cell r="DT81">
            <v>0</v>
          </cell>
          <cell r="DU81">
            <v>0</v>
          </cell>
          <cell r="DV81">
            <v>0</v>
          </cell>
          <cell r="DW81">
            <v>0</v>
          </cell>
          <cell r="DX81">
            <v>0</v>
          </cell>
          <cell r="DY81">
            <v>3594.6233866411571</v>
          </cell>
          <cell r="DZ81">
            <v>0</v>
          </cell>
          <cell r="EA81">
            <v>0</v>
          </cell>
          <cell r="EB81">
            <v>3594.6233866411571</v>
          </cell>
          <cell r="EE81">
            <v>0</v>
          </cell>
          <cell r="EH81">
            <v>0</v>
          </cell>
          <cell r="EI81">
            <v>0</v>
          </cell>
          <cell r="EK81">
            <v>0</v>
          </cell>
          <cell r="EL81">
            <v>22261</v>
          </cell>
          <cell r="EM81">
            <v>0</v>
          </cell>
          <cell r="EO81">
            <v>22261</v>
          </cell>
          <cell r="EP81">
            <v>0</v>
          </cell>
          <cell r="EQ81">
            <v>156063.80189381985</v>
          </cell>
          <cell r="ER81">
            <v>1257574.9969636048</v>
          </cell>
          <cell r="ET81">
            <v>309.83157894736843</v>
          </cell>
          <cell r="EU81">
            <v>4058.8987127655928</v>
          </cell>
          <cell r="EV81" t="str">
            <v>No Variation Applied</v>
          </cell>
          <cell r="EW81">
            <v>53300</v>
          </cell>
          <cell r="EX81">
            <v>0</v>
          </cell>
          <cell r="EY81">
            <v>0</v>
          </cell>
          <cell r="EZ81">
            <v>161693.79068846695</v>
          </cell>
        </row>
        <row r="82">
          <cell r="C82" t="str">
            <v>Redwood Primary School</v>
          </cell>
          <cell r="D82">
            <v>2505</v>
          </cell>
          <cell r="F82" t="str">
            <v/>
          </cell>
          <cell r="G82">
            <v>0</v>
          </cell>
          <cell r="H82">
            <v>52260</v>
          </cell>
          <cell r="I82">
            <v>0</v>
          </cell>
          <cell r="J82">
            <v>0</v>
          </cell>
          <cell r="L82">
            <v>182723.49667797852</v>
          </cell>
          <cell r="M82">
            <v>52260</v>
          </cell>
          <cell r="N82">
            <v>55.010526315789477</v>
          </cell>
          <cell r="S82">
            <v>0</v>
          </cell>
          <cell r="T82">
            <v>0</v>
          </cell>
          <cell r="U82">
            <v>75</v>
          </cell>
          <cell r="Y82">
            <v>66</v>
          </cell>
          <cell r="Z82">
            <v>61</v>
          </cell>
          <cell r="AA82">
            <v>54</v>
          </cell>
          <cell r="AB82">
            <v>50</v>
          </cell>
          <cell r="AC82">
            <v>49</v>
          </cell>
          <cell r="AD82">
            <v>51</v>
          </cell>
          <cell r="AK82">
            <v>1053338.1528699431</v>
          </cell>
          <cell r="AL82">
            <v>406</v>
          </cell>
          <cell r="BS82">
            <v>21817.776000000002</v>
          </cell>
          <cell r="BT82">
            <v>0</v>
          </cell>
          <cell r="BU82">
            <v>3829.7159999999999</v>
          </cell>
          <cell r="BV82">
            <v>0</v>
          </cell>
          <cell r="BW82">
            <v>0</v>
          </cell>
          <cell r="BX82">
            <v>12276.824399999983</v>
          </cell>
          <cell r="BY82">
            <v>0</v>
          </cell>
          <cell r="BZ82">
            <v>0</v>
          </cell>
          <cell r="CA82">
            <v>0</v>
          </cell>
          <cell r="CB82">
            <v>0</v>
          </cell>
          <cell r="CC82">
            <v>0</v>
          </cell>
          <cell r="CD82">
            <v>0</v>
          </cell>
          <cell r="CE82">
            <v>37924.316399999982</v>
          </cell>
          <cell r="CF82">
            <v>34020.916695056439</v>
          </cell>
          <cell r="CI82">
            <v>0</v>
          </cell>
          <cell r="CJ82">
            <v>0</v>
          </cell>
          <cell r="CK82">
            <v>8240.58</v>
          </cell>
          <cell r="CL82">
            <v>3008.7495526591583</v>
          </cell>
          <cell r="CM82">
            <v>45270.2462477156</v>
          </cell>
          <cell r="CQ82">
            <v>12949.42631058358</v>
          </cell>
          <cell r="CR82">
            <v>19896.169999999998</v>
          </cell>
          <cell r="CS82">
            <v>14145.968210588129</v>
          </cell>
          <cell r="CT82">
            <v>46991.564521171706</v>
          </cell>
          <cell r="CU82">
            <v>3003.2387510207782</v>
          </cell>
          <cell r="CV82">
            <v>0</v>
          </cell>
          <cell r="CW82">
            <v>3003.2387510207782</v>
          </cell>
          <cell r="CX82">
            <v>0</v>
          </cell>
          <cell r="CZ82">
            <v>0</v>
          </cell>
          <cell r="DC82">
            <v>0</v>
          </cell>
          <cell r="DD82">
            <v>163516.44503898162</v>
          </cell>
          <cell r="DE82">
            <v>202596.85526891123</v>
          </cell>
          <cell r="DF82">
            <v>10273.40909703141</v>
          </cell>
          <cell r="DG82">
            <v>0</v>
          </cell>
          <cell r="DH82">
            <v>0</v>
          </cell>
          <cell r="DI82">
            <v>376386.70940492424</v>
          </cell>
          <cell r="DJ82">
            <v>0</v>
          </cell>
          <cell r="DK82">
            <v>26793</v>
          </cell>
          <cell r="DL82">
            <v>6827.96</v>
          </cell>
          <cell r="DM82">
            <v>70073.495851086889</v>
          </cell>
          <cell r="DN82">
            <v>0</v>
          </cell>
          <cell r="DO82">
            <v>0</v>
          </cell>
          <cell r="DP82">
            <v>0</v>
          </cell>
          <cell r="DQ82">
            <v>103694.45585108688</v>
          </cell>
          <cell r="DR82">
            <v>0</v>
          </cell>
          <cell r="DS82">
            <v>0</v>
          </cell>
          <cell r="DT82">
            <v>0</v>
          </cell>
          <cell r="DU82">
            <v>0</v>
          </cell>
          <cell r="DV82">
            <v>0</v>
          </cell>
          <cell r="DW82">
            <v>0</v>
          </cell>
          <cell r="DX82">
            <v>0</v>
          </cell>
          <cell r="DY82">
            <v>8496.3825502427353</v>
          </cell>
          <cell r="DZ82">
            <v>0</v>
          </cell>
          <cell r="EA82">
            <v>0</v>
          </cell>
          <cell r="EB82">
            <v>8496.3825502427353</v>
          </cell>
          <cell r="EE82">
            <v>0</v>
          </cell>
          <cell r="EH82">
            <v>0</v>
          </cell>
          <cell r="EI82">
            <v>0</v>
          </cell>
          <cell r="EK82">
            <v>0</v>
          </cell>
          <cell r="EL82">
            <v>4317</v>
          </cell>
          <cell r="EM82">
            <v>0</v>
          </cell>
          <cell r="EO82">
            <v>4317</v>
          </cell>
          <cell r="EP82">
            <v>0</v>
          </cell>
          <cell r="EQ82">
            <v>220647.8130779785</v>
          </cell>
          <cell r="ER82">
            <v>1862145.5632740832</v>
          </cell>
          <cell r="ET82">
            <v>461.01052631578949</v>
          </cell>
          <cell r="EU82">
            <v>4039.2690773366949</v>
          </cell>
          <cell r="EV82" t="str">
            <v>No Variation Applied</v>
          </cell>
          <cell r="EW82">
            <v>89400</v>
          </cell>
          <cell r="EX82">
            <v>0</v>
          </cell>
          <cell r="EY82">
            <v>0</v>
          </cell>
          <cell r="EZ82">
            <v>238994.01575034249</v>
          </cell>
        </row>
        <row r="83">
          <cell r="C83" t="str">
            <v>Ash Croft Primary School</v>
          </cell>
          <cell r="D83">
            <v>2509</v>
          </cell>
          <cell r="F83" t="str">
            <v/>
          </cell>
          <cell r="G83">
            <v>0</v>
          </cell>
          <cell r="H83">
            <v>0</v>
          </cell>
          <cell r="I83">
            <v>0</v>
          </cell>
          <cell r="J83">
            <v>0</v>
          </cell>
          <cell r="L83">
            <v>0</v>
          </cell>
          <cell r="M83">
            <v>0</v>
          </cell>
          <cell r="N83">
            <v>0</v>
          </cell>
          <cell r="S83">
            <v>0</v>
          </cell>
          <cell r="T83">
            <v>0</v>
          </cell>
          <cell r="U83">
            <v>32</v>
          </cell>
          <cell r="Y83">
            <v>25</v>
          </cell>
          <cell r="Z83">
            <v>28</v>
          </cell>
          <cell r="AA83">
            <v>23</v>
          </cell>
          <cell r="AB83">
            <v>21</v>
          </cell>
          <cell r="AC83">
            <v>23</v>
          </cell>
          <cell r="AD83">
            <v>21</v>
          </cell>
          <cell r="AK83">
            <v>448983.08522443764</v>
          </cell>
          <cell r="AL83">
            <v>173</v>
          </cell>
          <cell r="BS83">
            <v>0</v>
          </cell>
          <cell r="BT83">
            <v>0</v>
          </cell>
          <cell r="BU83">
            <v>0</v>
          </cell>
          <cell r="BV83">
            <v>0</v>
          </cell>
          <cell r="BW83">
            <v>0</v>
          </cell>
          <cell r="BX83">
            <v>0</v>
          </cell>
          <cell r="BY83">
            <v>0</v>
          </cell>
          <cell r="BZ83">
            <v>0</v>
          </cell>
          <cell r="CA83">
            <v>0</v>
          </cell>
          <cell r="CB83">
            <v>0</v>
          </cell>
          <cell r="CC83">
            <v>0</v>
          </cell>
          <cell r="CD83">
            <v>0</v>
          </cell>
          <cell r="CE83">
            <v>0</v>
          </cell>
          <cell r="CF83">
            <v>22680.611130037629</v>
          </cell>
          <cell r="CI83">
            <v>0</v>
          </cell>
          <cell r="CJ83">
            <v>0</v>
          </cell>
          <cell r="CK83">
            <v>3511.38</v>
          </cell>
          <cell r="CL83">
            <v>1850.6503002929094</v>
          </cell>
          <cell r="CM83">
            <v>28042.641430330539</v>
          </cell>
          <cell r="CQ83">
            <v>5332.1167161226504</v>
          </cell>
          <cell r="CR83">
            <v>5627.2</v>
          </cell>
          <cell r="CS83">
            <v>6062.5578045377697</v>
          </cell>
          <cell r="CT83">
            <v>17021.874520660422</v>
          </cell>
          <cell r="CU83">
            <v>250.26989591839819</v>
          </cell>
          <cell r="CV83">
            <v>0</v>
          </cell>
          <cell r="CW83">
            <v>250.26989591839819</v>
          </cell>
          <cell r="CX83">
            <v>0</v>
          </cell>
          <cell r="CZ83">
            <v>0</v>
          </cell>
          <cell r="DC83">
            <v>0</v>
          </cell>
          <cell r="DD83">
            <v>45303.257499977597</v>
          </cell>
          <cell r="DE83">
            <v>51160.822037603844</v>
          </cell>
          <cell r="DF83">
            <v>1712.2348495052349</v>
          </cell>
          <cell r="DG83">
            <v>0</v>
          </cell>
          <cell r="DH83">
            <v>0</v>
          </cell>
          <cell r="DI83">
            <v>98176.314387086677</v>
          </cell>
          <cell r="DJ83">
            <v>0</v>
          </cell>
          <cell r="DK83">
            <v>12480.5</v>
          </cell>
          <cell r="DL83">
            <v>3445.93</v>
          </cell>
          <cell r="DM83">
            <v>74722.185859261808</v>
          </cell>
          <cell r="DN83">
            <v>0</v>
          </cell>
          <cell r="DO83">
            <v>0</v>
          </cell>
          <cell r="DP83">
            <v>0</v>
          </cell>
          <cell r="DQ83">
            <v>90648.615859261801</v>
          </cell>
          <cell r="DR83">
            <v>0</v>
          </cell>
          <cell r="DS83">
            <v>0</v>
          </cell>
          <cell r="DT83">
            <v>0</v>
          </cell>
          <cell r="DU83">
            <v>0</v>
          </cell>
          <cell r="DV83">
            <v>0</v>
          </cell>
          <cell r="DW83">
            <v>0</v>
          </cell>
          <cell r="DX83">
            <v>0</v>
          </cell>
          <cell r="DY83">
            <v>6208.8949405619987</v>
          </cell>
          <cell r="DZ83">
            <v>0</v>
          </cell>
          <cell r="EA83">
            <v>0</v>
          </cell>
          <cell r="EB83">
            <v>6208.8949405619987</v>
          </cell>
          <cell r="EE83">
            <v>0</v>
          </cell>
          <cell r="EH83">
            <v>0</v>
          </cell>
          <cell r="EI83">
            <v>6580.8010000000004</v>
          </cell>
          <cell r="EK83">
            <v>0</v>
          </cell>
          <cell r="EL83">
            <v>-3204</v>
          </cell>
          <cell r="EM83">
            <v>0</v>
          </cell>
          <cell r="EO83">
            <v>3376.8010000000004</v>
          </cell>
          <cell r="EP83">
            <v>12020.538005692186</v>
          </cell>
          <cell r="EQ83">
            <v>0</v>
          </cell>
          <cell r="ER83">
            <v>704729.03526394966</v>
          </cell>
          <cell r="ET83">
            <v>173</v>
          </cell>
          <cell r="EU83">
            <v>4073.57823851994</v>
          </cell>
          <cell r="EV83" t="str">
            <v>No Variation Applied</v>
          </cell>
          <cell r="EW83">
            <v>27000</v>
          </cell>
          <cell r="EX83">
            <v>0</v>
          </cell>
          <cell r="EY83">
            <v>0</v>
          </cell>
          <cell r="EZ83">
            <v>71690.270563242171</v>
          </cell>
        </row>
        <row r="84">
          <cell r="C84" t="str">
            <v>Brookfield Primary School</v>
          </cell>
          <cell r="D84">
            <v>2512</v>
          </cell>
          <cell r="F84" t="str">
            <v/>
          </cell>
          <cell r="G84">
            <v>0</v>
          </cell>
          <cell r="H84">
            <v>14880</v>
          </cell>
          <cell r="I84">
            <v>0</v>
          </cell>
          <cell r="J84">
            <v>0</v>
          </cell>
          <cell r="L84">
            <v>52026.896872719488</v>
          </cell>
          <cell r="M84">
            <v>14880</v>
          </cell>
          <cell r="N84">
            <v>15.663157894736843</v>
          </cell>
          <cell r="S84">
            <v>0</v>
          </cell>
          <cell r="T84">
            <v>0</v>
          </cell>
          <cell r="U84">
            <v>30</v>
          </cell>
          <cell r="Y84">
            <v>29</v>
          </cell>
          <cell r="Z84">
            <v>30</v>
          </cell>
          <cell r="AA84">
            <v>30</v>
          </cell>
          <cell r="AB84">
            <v>28</v>
          </cell>
          <cell r="AC84">
            <v>28</v>
          </cell>
          <cell r="AD84">
            <v>31</v>
          </cell>
          <cell r="AK84">
            <v>532381.29378746846</v>
          </cell>
          <cell r="AL84">
            <v>206</v>
          </cell>
          <cell r="BS84">
            <v>812.36400000000003</v>
          </cell>
          <cell r="BT84">
            <v>0</v>
          </cell>
          <cell r="BU84">
            <v>464.20800000000003</v>
          </cell>
          <cell r="BV84">
            <v>0</v>
          </cell>
          <cell r="BW84">
            <v>0</v>
          </cell>
          <cell r="BX84">
            <v>-1223.1618000000017</v>
          </cell>
          <cell r="BY84">
            <v>0</v>
          </cell>
          <cell r="BZ84">
            <v>1003.8498</v>
          </cell>
          <cell r="CA84">
            <v>0</v>
          </cell>
          <cell r="CB84">
            <v>0</v>
          </cell>
          <cell r="CC84">
            <v>0</v>
          </cell>
          <cell r="CD84">
            <v>0</v>
          </cell>
          <cell r="CE84">
            <v>1057.2599999999984</v>
          </cell>
          <cell r="CF84">
            <v>11340.305565018814</v>
          </cell>
          <cell r="CI84">
            <v>0</v>
          </cell>
          <cell r="CJ84">
            <v>0</v>
          </cell>
          <cell r="CK84">
            <v>4181.18</v>
          </cell>
          <cell r="CL84">
            <v>2316.1985047324979</v>
          </cell>
          <cell r="CM84">
            <v>17837.684069751311</v>
          </cell>
          <cell r="CQ84">
            <v>761.73095944609292</v>
          </cell>
          <cell r="CR84">
            <v>8038.86</v>
          </cell>
          <cell r="CS84">
            <v>5254.2167639327336</v>
          </cell>
          <cell r="CT84">
            <v>14054.807723378824</v>
          </cell>
          <cell r="CU84">
            <v>3003.2387510207782</v>
          </cell>
          <cell r="CV84">
            <v>9009.7162530623336</v>
          </cell>
          <cell r="CW84">
            <v>12012.955004083113</v>
          </cell>
          <cell r="CX84">
            <v>0</v>
          </cell>
          <cell r="CZ84">
            <v>0</v>
          </cell>
          <cell r="DC84">
            <v>0</v>
          </cell>
          <cell r="DD84">
            <v>27134.763606757413</v>
          </cell>
          <cell r="DE84">
            <v>5457.1543506777434</v>
          </cell>
          <cell r="DF84">
            <v>856.11742475261747</v>
          </cell>
          <cell r="DG84">
            <v>0</v>
          </cell>
          <cell r="DH84">
            <v>0</v>
          </cell>
          <cell r="DI84">
            <v>33448.035382187772</v>
          </cell>
          <cell r="DJ84">
            <v>0</v>
          </cell>
          <cell r="DK84">
            <v>14427</v>
          </cell>
          <cell r="DL84">
            <v>4084.7</v>
          </cell>
          <cell r="DM84">
            <v>70073.495851086889</v>
          </cell>
          <cell r="DN84">
            <v>0</v>
          </cell>
          <cell r="DO84">
            <v>0</v>
          </cell>
          <cell r="DP84">
            <v>0</v>
          </cell>
          <cell r="DQ84">
            <v>88585.195851086886</v>
          </cell>
          <cell r="DR84">
            <v>0</v>
          </cell>
          <cell r="DS84">
            <v>0</v>
          </cell>
          <cell r="DT84">
            <v>0</v>
          </cell>
          <cell r="DU84">
            <v>0</v>
          </cell>
          <cell r="DV84">
            <v>0</v>
          </cell>
          <cell r="DW84">
            <v>0</v>
          </cell>
          <cell r="DX84">
            <v>0</v>
          </cell>
          <cell r="DY84">
            <v>2941.0554981609466</v>
          </cell>
          <cell r="DZ84">
            <v>0</v>
          </cell>
          <cell r="EA84">
            <v>0</v>
          </cell>
          <cell r="EB84">
            <v>2941.0554981609466</v>
          </cell>
          <cell r="EE84">
            <v>0</v>
          </cell>
          <cell r="EH84">
            <v>0</v>
          </cell>
          <cell r="EI84">
            <v>0</v>
          </cell>
          <cell r="EK84">
            <v>0</v>
          </cell>
          <cell r="EL84">
            <v>15270</v>
          </cell>
          <cell r="EM84">
            <v>0</v>
          </cell>
          <cell r="EO84">
            <v>15270</v>
          </cell>
          <cell r="EP84">
            <v>30282.73187580856</v>
          </cell>
          <cell r="EQ84">
            <v>53084.156872719483</v>
          </cell>
          <cell r="ER84">
            <v>799897.91606464551</v>
          </cell>
          <cell r="ET84">
            <v>221.66315789473686</v>
          </cell>
          <cell r="EU84">
            <v>3608.6191483588814</v>
          </cell>
          <cell r="EV84" t="str">
            <v>No Variation Applied</v>
          </cell>
          <cell r="EW84">
            <v>18000</v>
          </cell>
          <cell r="EX84">
            <v>0</v>
          </cell>
          <cell r="EY84">
            <v>0</v>
          </cell>
          <cell r="EZ84">
            <v>61853.986028449857</v>
          </cell>
        </row>
        <row r="85">
          <cell r="C85" t="str">
            <v>Grampian Primary School</v>
          </cell>
          <cell r="D85">
            <v>2515</v>
          </cell>
          <cell r="F85" t="str">
            <v/>
          </cell>
          <cell r="G85">
            <v>0</v>
          </cell>
          <cell r="H85">
            <v>22590</v>
          </cell>
          <cell r="I85">
            <v>0</v>
          </cell>
          <cell r="J85">
            <v>0</v>
          </cell>
          <cell r="L85">
            <v>78984.381744269704</v>
          </cell>
          <cell r="M85">
            <v>22590</v>
          </cell>
          <cell r="N85">
            <v>23.778947368421054</v>
          </cell>
          <cell r="S85">
            <v>0</v>
          </cell>
          <cell r="T85">
            <v>0</v>
          </cell>
          <cell r="U85">
            <v>30</v>
          </cell>
          <cell r="Y85">
            <v>30</v>
          </cell>
          <cell r="Z85">
            <v>30</v>
          </cell>
          <cell r="AA85">
            <v>26</v>
          </cell>
          <cell r="AB85">
            <v>23</v>
          </cell>
          <cell r="AC85">
            <v>18</v>
          </cell>
          <cell r="AD85">
            <v>29</v>
          </cell>
          <cell r="AK85">
            <v>480876.25758002256</v>
          </cell>
          <cell r="AL85">
            <v>186</v>
          </cell>
          <cell r="BS85">
            <v>11257.044</v>
          </cell>
          <cell r="BT85">
            <v>0</v>
          </cell>
          <cell r="BU85">
            <v>851.048</v>
          </cell>
          <cell r="BV85">
            <v>0</v>
          </cell>
          <cell r="BW85">
            <v>0</v>
          </cell>
          <cell r="BX85">
            <v>-7584.9822539198067</v>
          </cell>
          <cell r="BY85">
            <v>0</v>
          </cell>
          <cell r="BZ85">
            <v>1003.8498</v>
          </cell>
          <cell r="CA85">
            <v>0</v>
          </cell>
          <cell r="CB85">
            <v>0</v>
          </cell>
          <cell r="CC85">
            <v>0</v>
          </cell>
          <cell r="CD85">
            <v>0</v>
          </cell>
          <cell r="CE85">
            <v>5526.9595460801938</v>
          </cell>
          <cell r="CF85">
            <v>11340.305565018814</v>
          </cell>
          <cell r="CI85">
            <v>0</v>
          </cell>
          <cell r="CJ85">
            <v>0</v>
          </cell>
          <cell r="CK85">
            <v>3775.24</v>
          </cell>
          <cell r="CL85">
            <v>1623.6474568058372</v>
          </cell>
          <cell r="CM85">
            <v>16739.193021824653</v>
          </cell>
          <cell r="CQ85">
            <v>9140.7715133531146</v>
          </cell>
          <cell r="CR85">
            <v>8842.74</v>
          </cell>
          <cell r="CS85">
            <v>6062.5578045377697</v>
          </cell>
          <cell r="CT85">
            <v>24046.069317890884</v>
          </cell>
          <cell r="CU85">
            <v>28906.172978574989</v>
          </cell>
          <cell r="CV85">
            <v>0</v>
          </cell>
          <cell r="CW85">
            <v>28906.172978574989</v>
          </cell>
          <cell r="CX85">
            <v>0</v>
          </cell>
          <cell r="CZ85">
            <v>0</v>
          </cell>
          <cell r="DC85">
            <v>0</v>
          </cell>
          <cell r="DD85">
            <v>117918.24445632189</v>
          </cell>
          <cell r="DE85">
            <v>113235.95277656318</v>
          </cell>
          <cell r="DF85">
            <v>5136.704548515705</v>
          </cell>
          <cell r="DG85">
            <v>0</v>
          </cell>
          <cell r="DH85">
            <v>0</v>
          </cell>
          <cell r="DI85">
            <v>236290.90178140075</v>
          </cell>
          <cell r="DJ85">
            <v>0</v>
          </cell>
          <cell r="DK85">
            <v>16488</v>
          </cell>
          <cell r="DL85">
            <v>3012.63</v>
          </cell>
          <cell r="DM85">
            <v>70073.495851086889</v>
          </cell>
          <cell r="DN85">
            <v>0</v>
          </cell>
          <cell r="DO85">
            <v>0</v>
          </cell>
          <cell r="DP85">
            <v>0</v>
          </cell>
          <cell r="DQ85">
            <v>89574.125851086894</v>
          </cell>
          <cell r="DR85">
            <v>0</v>
          </cell>
          <cell r="DS85">
            <v>0</v>
          </cell>
          <cell r="DT85">
            <v>0</v>
          </cell>
          <cell r="DU85">
            <v>0</v>
          </cell>
          <cell r="DV85">
            <v>0</v>
          </cell>
          <cell r="DW85">
            <v>0</v>
          </cell>
          <cell r="DX85">
            <v>0</v>
          </cell>
          <cell r="DY85">
            <v>4574.9752193614731</v>
          </cell>
          <cell r="DZ85">
            <v>0</v>
          </cell>
          <cell r="EA85">
            <v>0</v>
          </cell>
          <cell r="EB85">
            <v>4574.9752193614731</v>
          </cell>
          <cell r="EE85">
            <v>0</v>
          </cell>
          <cell r="EH85">
            <v>0</v>
          </cell>
          <cell r="EI85">
            <v>0</v>
          </cell>
          <cell r="EK85">
            <v>0</v>
          </cell>
          <cell r="EL85">
            <v>18709</v>
          </cell>
          <cell r="EM85">
            <v>0</v>
          </cell>
          <cell r="EO85">
            <v>18709</v>
          </cell>
          <cell r="EP85">
            <v>78179.805381990387</v>
          </cell>
          <cell r="EQ85">
            <v>84511.341290349897</v>
          </cell>
          <cell r="ER85">
            <v>1062407.8424225026</v>
          </cell>
          <cell r="ET85">
            <v>209.77894736842106</v>
          </cell>
          <cell r="EU85">
            <v>5064.4159280514696</v>
          </cell>
          <cell r="EV85" t="str">
            <v>No Variation Applied</v>
          </cell>
          <cell r="EW85">
            <v>63600</v>
          </cell>
          <cell r="EX85">
            <v>0</v>
          </cell>
          <cell r="EY85">
            <v>0</v>
          </cell>
          <cell r="EZ85">
            <v>184176.07402465359</v>
          </cell>
        </row>
        <row r="86">
          <cell r="C86" t="str">
            <v>Firs Estate Primary School</v>
          </cell>
          <cell r="D86">
            <v>2518</v>
          </cell>
          <cell r="F86" t="str">
            <v/>
          </cell>
          <cell r="G86">
            <v>0</v>
          </cell>
          <cell r="H86">
            <v>16560</v>
          </cell>
          <cell r="I86">
            <v>0</v>
          </cell>
          <cell r="J86">
            <v>0</v>
          </cell>
          <cell r="L86">
            <v>57900.901358349103</v>
          </cell>
          <cell r="M86">
            <v>16560</v>
          </cell>
          <cell r="N86">
            <v>17.431578947368422</v>
          </cell>
          <cell r="S86">
            <v>0</v>
          </cell>
          <cell r="T86">
            <v>0</v>
          </cell>
          <cell r="U86">
            <v>54</v>
          </cell>
          <cell r="Y86">
            <v>42</v>
          </cell>
          <cell r="Z86">
            <v>44</v>
          </cell>
          <cell r="AA86">
            <v>34</v>
          </cell>
          <cell r="AB86">
            <v>35</v>
          </cell>
          <cell r="AC86">
            <v>21</v>
          </cell>
          <cell r="AD86">
            <v>35</v>
          </cell>
          <cell r="AK86">
            <v>688857.32514151535</v>
          </cell>
          <cell r="AL86">
            <v>265</v>
          </cell>
          <cell r="BS86">
            <v>6266.808</v>
          </cell>
          <cell r="BT86">
            <v>0</v>
          </cell>
          <cell r="BU86">
            <v>1276.5720000000001</v>
          </cell>
          <cell r="BV86">
            <v>0</v>
          </cell>
          <cell r="BW86">
            <v>0</v>
          </cell>
          <cell r="BX86">
            <v>6861.7660000000033</v>
          </cell>
          <cell r="BY86">
            <v>0</v>
          </cell>
          <cell r="BZ86">
            <v>2007.6995999999999</v>
          </cell>
          <cell r="CA86">
            <v>0</v>
          </cell>
          <cell r="CB86">
            <v>0</v>
          </cell>
          <cell r="CC86">
            <v>0</v>
          </cell>
          <cell r="CD86">
            <v>0</v>
          </cell>
          <cell r="CE86">
            <v>16412.845600000004</v>
          </cell>
          <cell r="CF86">
            <v>22680.611130037629</v>
          </cell>
          <cell r="CI86">
            <v>0</v>
          </cell>
          <cell r="CJ86">
            <v>0</v>
          </cell>
          <cell r="CK86">
            <v>5378.7</v>
          </cell>
          <cell r="CL86">
            <v>2185.3833067907949</v>
          </cell>
          <cell r="CM86">
            <v>30244.694436828424</v>
          </cell>
          <cell r="CQ86">
            <v>28945.776458951532</v>
          </cell>
          <cell r="CR86">
            <v>22307.83</v>
          </cell>
          <cell r="CS86">
            <v>12731.371389529315</v>
          </cell>
          <cell r="CT86">
            <v>63984.977848480848</v>
          </cell>
          <cell r="CU86">
            <v>4254.5882306127687</v>
          </cell>
          <cell r="CV86">
            <v>0</v>
          </cell>
          <cell r="CW86">
            <v>4254.5882306127687</v>
          </cell>
          <cell r="CX86">
            <v>0</v>
          </cell>
          <cell r="CZ86">
            <v>0</v>
          </cell>
          <cell r="DC86">
            <v>0</v>
          </cell>
          <cell r="DD86">
            <v>149403.41853264096</v>
          </cell>
          <cell r="DE86">
            <v>117783.58140212797</v>
          </cell>
          <cell r="DF86">
            <v>15410.113645547115</v>
          </cell>
          <cell r="DG86">
            <v>0</v>
          </cell>
          <cell r="DH86">
            <v>0</v>
          </cell>
          <cell r="DI86">
            <v>282597.11358031607</v>
          </cell>
          <cell r="DJ86">
            <v>0</v>
          </cell>
          <cell r="DK86">
            <v>10589.33</v>
          </cell>
          <cell r="DL86">
            <v>6853.44</v>
          </cell>
          <cell r="DM86">
            <v>70073.495851086889</v>
          </cell>
          <cell r="DN86">
            <v>0</v>
          </cell>
          <cell r="DO86">
            <v>0</v>
          </cell>
          <cell r="DP86">
            <v>0</v>
          </cell>
          <cell r="DQ86">
            <v>87516.265851086893</v>
          </cell>
          <cell r="DR86">
            <v>0</v>
          </cell>
          <cell r="DS86">
            <v>0</v>
          </cell>
          <cell r="DT86">
            <v>0</v>
          </cell>
          <cell r="DU86">
            <v>0</v>
          </cell>
          <cell r="DV86">
            <v>0</v>
          </cell>
          <cell r="DW86">
            <v>0</v>
          </cell>
          <cell r="DX86">
            <v>0</v>
          </cell>
          <cell r="DY86">
            <v>13724.925658084418</v>
          </cell>
          <cell r="DZ86">
            <v>0</v>
          </cell>
          <cell r="EA86">
            <v>0</v>
          </cell>
          <cell r="EB86">
            <v>13724.925658084418</v>
          </cell>
          <cell r="EE86">
            <v>0</v>
          </cell>
          <cell r="EH86">
            <v>0</v>
          </cell>
          <cell r="EI86">
            <v>0</v>
          </cell>
          <cell r="EK86">
            <v>0</v>
          </cell>
          <cell r="EL86">
            <v>3879</v>
          </cell>
          <cell r="EM86">
            <v>0</v>
          </cell>
          <cell r="EO86">
            <v>3879</v>
          </cell>
          <cell r="EP86">
            <v>14802.588125592563</v>
          </cell>
          <cell r="EQ86">
            <v>74313.746958349104</v>
          </cell>
          <cell r="ER86">
            <v>1264175.2258308665</v>
          </cell>
          <cell r="ET86">
            <v>282.43157894736839</v>
          </cell>
          <cell r="EU86">
            <v>4476.0406415687949</v>
          </cell>
          <cell r="EV86" t="str">
            <v>No Variation Applied</v>
          </cell>
          <cell r="EW86">
            <v>72600</v>
          </cell>
          <cell r="EX86">
            <v>0</v>
          </cell>
          <cell r="EY86">
            <v>0</v>
          </cell>
          <cell r="EZ86">
            <v>248446.06062992013</v>
          </cell>
        </row>
        <row r="87">
          <cell r="C87" t="str">
            <v>Lawn Primary School</v>
          </cell>
          <cell r="D87">
            <v>2522</v>
          </cell>
          <cell r="F87" t="str">
            <v/>
          </cell>
          <cell r="G87">
            <v>0</v>
          </cell>
          <cell r="H87">
            <v>0</v>
          </cell>
          <cell r="I87">
            <v>0</v>
          </cell>
          <cell r="J87">
            <v>0</v>
          </cell>
          <cell r="L87">
            <v>0</v>
          </cell>
          <cell r="M87">
            <v>0</v>
          </cell>
          <cell r="N87">
            <v>0</v>
          </cell>
          <cell r="S87">
            <v>0</v>
          </cell>
          <cell r="T87">
            <v>0</v>
          </cell>
          <cell r="U87">
            <v>58</v>
          </cell>
          <cell r="Y87">
            <v>58</v>
          </cell>
          <cell r="Z87">
            <v>52</v>
          </cell>
          <cell r="AA87">
            <v>60</v>
          </cell>
          <cell r="AB87">
            <v>61</v>
          </cell>
          <cell r="AC87">
            <v>54</v>
          </cell>
          <cell r="AD87">
            <v>62</v>
          </cell>
          <cell r="AK87">
            <v>1047054.3018236394</v>
          </cell>
          <cell r="AL87">
            <v>405</v>
          </cell>
          <cell r="BS87">
            <v>0</v>
          </cell>
          <cell r="BT87">
            <v>0</v>
          </cell>
          <cell r="BU87">
            <v>0</v>
          </cell>
          <cell r="BV87">
            <v>0</v>
          </cell>
          <cell r="BW87">
            <v>0</v>
          </cell>
          <cell r="BX87">
            <v>0</v>
          </cell>
          <cell r="BY87">
            <v>0</v>
          </cell>
          <cell r="BZ87">
            <v>0</v>
          </cell>
          <cell r="CA87">
            <v>0</v>
          </cell>
          <cell r="CB87">
            <v>0</v>
          </cell>
          <cell r="CC87">
            <v>0</v>
          </cell>
          <cell r="CD87">
            <v>0</v>
          </cell>
          <cell r="CE87">
            <v>0</v>
          </cell>
          <cell r="CF87">
            <v>22680.611130037629</v>
          </cell>
          <cell r="CI87">
            <v>0</v>
          </cell>
          <cell r="CJ87">
            <v>0</v>
          </cell>
          <cell r="CK87">
            <v>8220.2800000000007</v>
          </cell>
          <cell r="CL87">
            <v>0</v>
          </cell>
          <cell r="CM87">
            <v>30900.891130037628</v>
          </cell>
          <cell r="CQ87">
            <v>1523.4619188921858</v>
          </cell>
          <cell r="CR87">
            <v>3215.54</v>
          </cell>
          <cell r="CS87">
            <v>4445.8757233276974</v>
          </cell>
          <cell r="CT87">
            <v>9184.8776422198825</v>
          </cell>
          <cell r="CU87">
            <v>0</v>
          </cell>
          <cell r="CV87">
            <v>0</v>
          </cell>
          <cell r="CW87">
            <v>0</v>
          </cell>
          <cell r="CX87">
            <v>0</v>
          </cell>
          <cell r="CZ87">
            <v>0</v>
          </cell>
          <cell r="DC87">
            <v>0</v>
          </cell>
          <cell r="DD87">
            <v>22577.892979318261</v>
          </cell>
          <cell r="DE87">
            <v>18645.277364815625</v>
          </cell>
          <cell r="DF87">
            <v>2568.3522742578525</v>
          </cell>
          <cell r="DG87">
            <v>0</v>
          </cell>
          <cell r="DH87">
            <v>0</v>
          </cell>
          <cell r="DI87">
            <v>43791.52261839174</v>
          </cell>
          <cell r="DJ87">
            <v>0</v>
          </cell>
          <cell r="DK87">
            <v>16488</v>
          </cell>
          <cell r="DL87">
            <v>6802.68</v>
          </cell>
          <cell r="DM87">
            <v>70073.495851086889</v>
          </cell>
          <cell r="DN87">
            <v>0</v>
          </cell>
          <cell r="DO87">
            <v>0</v>
          </cell>
          <cell r="DP87">
            <v>0</v>
          </cell>
          <cell r="DQ87">
            <v>93364.175851086882</v>
          </cell>
          <cell r="DR87">
            <v>0</v>
          </cell>
          <cell r="DS87">
            <v>0</v>
          </cell>
          <cell r="DT87">
            <v>0</v>
          </cell>
          <cell r="DU87">
            <v>0</v>
          </cell>
          <cell r="DV87">
            <v>0</v>
          </cell>
          <cell r="DW87">
            <v>0</v>
          </cell>
          <cell r="DX87">
            <v>0</v>
          </cell>
          <cell r="DY87">
            <v>5228.5431078416832</v>
          </cell>
          <cell r="DZ87">
            <v>0</v>
          </cell>
          <cell r="EA87">
            <v>0</v>
          </cell>
          <cell r="EB87">
            <v>5228.5431078416832</v>
          </cell>
          <cell r="EE87">
            <v>0</v>
          </cell>
          <cell r="EH87">
            <v>0</v>
          </cell>
          <cell r="EI87">
            <v>0</v>
          </cell>
          <cell r="EK87">
            <v>0</v>
          </cell>
          <cell r="EL87">
            <v>0</v>
          </cell>
          <cell r="EM87">
            <v>0</v>
          </cell>
          <cell r="EO87">
            <v>0</v>
          </cell>
          <cell r="EP87">
            <v>0</v>
          </cell>
          <cell r="EQ87">
            <v>0</v>
          </cell>
          <cell r="ER87">
            <v>1229524.3121732173</v>
          </cell>
          <cell r="ET87">
            <v>405</v>
          </cell>
          <cell r="EU87">
            <v>3035.8624991931292</v>
          </cell>
          <cell r="EV87" t="str">
            <v>No Variation Applied</v>
          </cell>
          <cell r="EW87">
            <v>17900</v>
          </cell>
          <cell r="EX87">
            <v>0</v>
          </cell>
          <cell r="EY87">
            <v>0</v>
          </cell>
          <cell r="EZ87">
            <v>52101.07437145619</v>
          </cell>
        </row>
        <row r="88">
          <cell r="C88" t="str">
            <v>Derwent Community School</v>
          </cell>
          <cell r="D88">
            <v>2619</v>
          </cell>
          <cell r="F88" t="str">
            <v/>
          </cell>
          <cell r="G88">
            <v>0</v>
          </cell>
          <cell r="H88">
            <v>20520</v>
          </cell>
          <cell r="I88">
            <v>0</v>
          </cell>
          <cell r="J88">
            <v>0</v>
          </cell>
          <cell r="L88">
            <v>71746.769074476062</v>
          </cell>
          <cell r="M88">
            <v>20520</v>
          </cell>
          <cell r="N88">
            <v>21.6</v>
          </cell>
          <cell r="S88">
            <v>0</v>
          </cell>
          <cell r="T88">
            <v>0</v>
          </cell>
          <cell r="U88">
            <v>30</v>
          </cell>
          <cell r="Y88">
            <v>25</v>
          </cell>
          <cell r="Z88">
            <v>27</v>
          </cell>
          <cell r="AA88">
            <v>28</v>
          </cell>
          <cell r="AB88">
            <v>27</v>
          </cell>
          <cell r="AC88">
            <v>22</v>
          </cell>
          <cell r="AD88">
            <v>22</v>
          </cell>
          <cell r="AK88">
            <v>468981.53098626423</v>
          </cell>
          <cell r="AL88">
            <v>181</v>
          </cell>
          <cell r="BS88">
            <v>9516.2639999999992</v>
          </cell>
          <cell r="BT88">
            <v>0</v>
          </cell>
          <cell r="BU88">
            <v>116.05200000000001</v>
          </cell>
          <cell r="BV88">
            <v>0</v>
          </cell>
          <cell r="BW88">
            <v>0</v>
          </cell>
          <cell r="BX88">
            <v>-3039.4257999999973</v>
          </cell>
          <cell r="BY88">
            <v>0</v>
          </cell>
          <cell r="BZ88">
            <v>3011.5493999999999</v>
          </cell>
          <cell r="CA88">
            <v>0</v>
          </cell>
          <cell r="CB88">
            <v>0</v>
          </cell>
          <cell r="CC88">
            <v>0</v>
          </cell>
          <cell r="CD88">
            <v>0</v>
          </cell>
          <cell r="CE88">
            <v>9604.4396000000015</v>
          </cell>
          <cell r="CF88">
            <v>11340.305565018814</v>
          </cell>
          <cell r="CI88">
            <v>0</v>
          </cell>
          <cell r="CJ88">
            <v>0</v>
          </cell>
          <cell r="CK88">
            <v>3673.76</v>
          </cell>
          <cell r="CL88">
            <v>1027.2840544245462</v>
          </cell>
          <cell r="CM88">
            <v>16041.349619443361</v>
          </cell>
          <cell r="CQ88">
            <v>6093.8476755687434</v>
          </cell>
          <cell r="CR88">
            <v>3818.46</v>
          </cell>
          <cell r="CS88">
            <v>1212.5115609075538</v>
          </cell>
          <cell r="CT88">
            <v>11124.819236476298</v>
          </cell>
          <cell r="CU88">
            <v>2502.698959183982</v>
          </cell>
          <cell r="CV88">
            <v>0</v>
          </cell>
          <cell r="CW88">
            <v>2502.698959183982</v>
          </cell>
          <cell r="CX88">
            <v>0</v>
          </cell>
          <cell r="CZ88">
            <v>0</v>
          </cell>
          <cell r="DC88">
            <v>0</v>
          </cell>
          <cell r="DD88">
            <v>146881.65517570861</v>
          </cell>
          <cell r="DE88">
            <v>105277.60268182481</v>
          </cell>
          <cell r="DF88">
            <v>7705.0568227735575</v>
          </cell>
          <cell r="DG88">
            <v>0</v>
          </cell>
          <cell r="DH88">
            <v>0</v>
          </cell>
          <cell r="DI88">
            <v>259864.31468030697</v>
          </cell>
          <cell r="DJ88">
            <v>0</v>
          </cell>
          <cell r="DK88">
            <v>26106</v>
          </cell>
          <cell r="DL88">
            <v>4324.1400000000003</v>
          </cell>
          <cell r="DM88">
            <v>70073.495851086889</v>
          </cell>
          <cell r="DN88">
            <v>0</v>
          </cell>
          <cell r="DO88">
            <v>0</v>
          </cell>
          <cell r="DP88">
            <v>0</v>
          </cell>
          <cell r="DQ88">
            <v>100503.63585108689</v>
          </cell>
          <cell r="DR88">
            <v>0</v>
          </cell>
          <cell r="DS88">
            <v>0</v>
          </cell>
          <cell r="DT88">
            <v>0</v>
          </cell>
          <cell r="DU88">
            <v>0</v>
          </cell>
          <cell r="DV88">
            <v>0</v>
          </cell>
          <cell r="DW88">
            <v>0</v>
          </cell>
          <cell r="DX88">
            <v>0</v>
          </cell>
          <cell r="DY88">
            <v>6208.8949405619987</v>
          </cell>
          <cell r="DZ88">
            <v>0</v>
          </cell>
          <cell r="EA88">
            <v>0</v>
          </cell>
          <cell r="EB88">
            <v>6208.8949405619987</v>
          </cell>
          <cell r="EE88">
            <v>0</v>
          </cell>
          <cell r="EH88">
            <v>0</v>
          </cell>
          <cell r="EI88">
            <v>10885.09204</v>
          </cell>
          <cell r="EK88">
            <v>0</v>
          </cell>
          <cell r="EL88">
            <v>5256</v>
          </cell>
          <cell r="EM88">
            <v>0</v>
          </cell>
          <cell r="EO88">
            <v>16141.09204</v>
          </cell>
          <cell r="EP88">
            <v>0</v>
          </cell>
          <cell r="EQ88">
            <v>81351.20867447606</v>
          </cell>
          <cell r="ER88">
            <v>962719.54498779995</v>
          </cell>
          <cell r="ET88">
            <v>202.6</v>
          </cell>
          <cell r="EU88">
            <v>4751.8240127729514</v>
          </cell>
          <cell r="EV88" t="str">
            <v>No Variation Applied</v>
          </cell>
          <cell r="EW88">
            <v>75250</v>
          </cell>
          <cell r="EX88">
            <v>0</v>
          </cell>
          <cell r="EY88">
            <v>0</v>
          </cell>
          <cell r="EZ88">
            <v>183930.0629256425</v>
          </cell>
        </row>
        <row r="89">
          <cell r="C89" t="str">
            <v>Mickleover Primary School</v>
          </cell>
          <cell r="D89">
            <v>2627</v>
          </cell>
          <cell r="F89" t="str">
            <v/>
          </cell>
          <cell r="G89">
            <v>0</v>
          </cell>
          <cell r="H89">
            <v>0</v>
          </cell>
          <cell r="I89">
            <v>0</v>
          </cell>
          <cell r="J89">
            <v>0</v>
          </cell>
          <cell r="L89">
            <v>0</v>
          </cell>
          <cell r="M89">
            <v>0</v>
          </cell>
          <cell r="N89">
            <v>0</v>
          </cell>
          <cell r="S89">
            <v>0</v>
          </cell>
          <cell r="T89">
            <v>0</v>
          </cell>
          <cell r="U89">
            <v>60</v>
          </cell>
          <cell r="Y89">
            <v>55</v>
          </cell>
          <cell r="Z89">
            <v>55</v>
          </cell>
          <cell r="AA89">
            <v>55</v>
          </cell>
          <cell r="AB89">
            <v>57</v>
          </cell>
          <cell r="AC89">
            <v>53</v>
          </cell>
          <cell r="AD89">
            <v>54</v>
          </cell>
          <cell r="AK89">
            <v>1006620.404662634</v>
          </cell>
          <cell r="AL89">
            <v>389</v>
          </cell>
          <cell r="BS89">
            <v>0</v>
          </cell>
          <cell r="BT89">
            <v>0</v>
          </cell>
          <cell r="BU89">
            <v>0</v>
          </cell>
          <cell r="BV89">
            <v>0</v>
          </cell>
          <cell r="BW89">
            <v>0</v>
          </cell>
          <cell r="BX89">
            <v>0</v>
          </cell>
          <cell r="BY89">
            <v>0</v>
          </cell>
          <cell r="BZ89">
            <v>0</v>
          </cell>
          <cell r="CA89">
            <v>0</v>
          </cell>
          <cell r="CB89">
            <v>0</v>
          </cell>
          <cell r="CC89">
            <v>0</v>
          </cell>
          <cell r="CD89">
            <v>0</v>
          </cell>
          <cell r="CE89">
            <v>0</v>
          </cell>
          <cell r="CF89">
            <v>22680.611130037629</v>
          </cell>
          <cell r="CI89">
            <v>0</v>
          </cell>
          <cell r="CJ89">
            <v>0</v>
          </cell>
          <cell r="CK89">
            <v>7895.53</v>
          </cell>
          <cell r="CL89">
            <v>5386.5081505406924</v>
          </cell>
          <cell r="CM89">
            <v>35962.64928057832</v>
          </cell>
          <cell r="CQ89">
            <v>6855.5786350148364</v>
          </cell>
          <cell r="CR89">
            <v>9043.7099999999991</v>
          </cell>
          <cell r="CS89">
            <v>4850.046243630215</v>
          </cell>
          <cell r="CT89">
            <v>20749.334878645052</v>
          </cell>
          <cell r="CU89">
            <v>3003.2387510207782</v>
          </cell>
          <cell r="CV89">
            <v>9009.7162530623336</v>
          </cell>
          <cell r="CW89">
            <v>12012.955004083113</v>
          </cell>
          <cell r="CX89">
            <v>0</v>
          </cell>
          <cell r="CZ89">
            <v>0</v>
          </cell>
          <cell r="DC89">
            <v>0</v>
          </cell>
          <cell r="DD89">
            <v>23801.906772449169</v>
          </cell>
          <cell r="DE89">
            <v>19100.040227372101</v>
          </cell>
          <cell r="DF89">
            <v>2568.3522742578525</v>
          </cell>
          <cell r="DG89">
            <v>0</v>
          </cell>
          <cell r="DH89">
            <v>0</v>
          </cell>
          <cell r="DI89">
            <v>45470.299274079123</v>
          </cell>
          <cell r="DJ89">
            <v>0</v>
          </cell>
          <cell r="DK89">
            <v>19236</v>
          </cell>
          <cell r="DL89">
            <v>5561.39</v>
          </cell>
          <cell r="DM89">
            <v>70073.495851086889</v>
          </cell>
          <cell r="DN89">
            <v>0</v>
          </cell>
          <cell r="DO89">
            <v>0</v>
          </cell>
          <cell r="DP89">
            <v>0</v>
          </cell>
          <cell r="DQ89">
            <v>94870.885851086889</v>
          </cell>
          <cell r="DR89">
            <v>0</v>
          </cell>
          <cell r="DS89">
            <v>0</v>
          </cell>
          <cell r="DT89">
            <v>0</v>
          </cell>
          <cell r="DU89">
            <v>0</v>
          </cell>
          <cell r="DV89">
            <v>0</v>
          </cell>
          <cell r="DW89">
            <v>0</v>
          </cell>
          <cell r="DX89">
            <v>0</v>
          </cell>
          <cell r="DY89">
            <v>6535.6788848021042</v>
          </cell>
          <cell r="DZ89">
            <v>0</v>
          </cell>
          <cell r="EA89">
            <v>0</v>
          </cell>
          <cell r="EB89">
            <v>6535.6788848021042</v>
          </cell>
          <cell r="EE89">
            <v>0</v>
          </cell>
          <cell r="EH89">
            <v>0</v>
          </cell>
          <cell r="EI89">
            <v>0</v>
          </cell>
          <cell r="EK89">
            <v>0</v>
          </cell>
          <cell r="EL89">
            <v>626</v>
          </cell>
          <cell r="EM89">
            <v>0</v>
          </cell>
          <cell r="EO89">
            <v>626</v>
          </cell>
          <cell r="EP89">
            <v>0</v>
          </cell>
          <cell r="EQ89">
            <v>0</v>
          </cell>
          <cell r="ER89">
            <v>1222848.2078359087</v>
          </cell>
          <cell r="ET89">
            <v>389</v>
          </cell>
          <cell r="EU89">
            <v>3143.568657675858</v>
          </cell>
          <cell r="EV89" t="str">
            <v>No Variation Applied</v>
          </cell>
          <cell r="EW89">
            <v>16800</v>
          </cell>
          <cell r="EX89">
            <v>0</v>
          </cell>
          <cell r="EY89">
            <v>0</v>
          </cell>
          <cell r="EZ89">
            <v>77134.363080374664</v>
          </cell>
        </row>
        <row r="90">
          <cell r="C90" t="str">
            <v>Arboretum Primary School</v>
          </cell>
          <cell r="D90">
            <v>2629</v>
          </cell>
          <cell r="F90" t="str">
            <v/>
          </cell>
          <cell r="G90">
            <v>0</v>
          </cell>
          <cell r="H90">
            <v>40500</v>
          </cell>
          <cell r="I90">
            <v>0</v>
          </cell>
          <cell r="J90">
            <v>0</v>
          </cell>
          <cell r="L90">
            <v>141605.46527857118</v>
          </cell>
          <cell r="M90">
            <v>40500</v>
          </cell>
          <cell r="N90">
            <v>42.631578947368418</v>
          </cell>
          <cell r="S90">
            <v>0</v>
          </cell>
          <cell r="T90">
            <v>0</v>
          </cell>
          <cell r="U90">
            <v>45</v>
          </cell>
          <cell r="Y90">
            <v>44</v>
          </cell>
          <cell r="Z90">
            <v>44</v>
          </cell>
          <cell r="AA90">
            <v>44</v>
          </cell>
          <cell r="AB90">
            <v>45</v>
          </cell>
          <cell r="AC90">
            <v>45</v>
          </cell>
          <cell r="AD90">
            <v>42</v>
          </cell>
          <cell r="AK90">
            <v>798631.42749684514</v>
          </cell>
          <cell r="AL90">
            <v>309</v>
          </cell>
          <cell r="BS90">
            <v>26227.752000000004</v>
          </cell>
          <cell r="BT90">
            <v>0</v>
          </cell>
          <cell r="BU90">
            <v>6614.9639999999999</v>
          </cell>
          <cell r="BV90">
            <v>0</v>
          </cell>
          <cell r="BW90">
            <v>0</v>
          </cell>
          <cell r="BX90">
            <v>-3244.5777999999991</v>
          </cell>
          <cell r="BY90">
            <v>0</v>
          </cell>
          <cell r="BZ90">
            <v>3011.5493999999999</v>
          </cell>
          <cell r="CA90">
            <v>0</v>
          </cell>
          <cell r="CB90">
            <v>0</v>
          </cell>
          <cell r="CC90">
            <v>0</v>
          </cell>
          <cell r="CD90">
            <v>0</v>
          </cell>
          <cell r="CE90">
            <v>32609.687600000001</v>
          </cell>
          <cell r="CF90">
            <v>22680.611130037629</v>
          </cell>
          <cell r="CI90">
            <v>0</v>
          </cell>
          <cell r="CJ90">
            <v>0</v>
          </cell>
          <cell r="CK90">
            <v>6271.77</v>
          </cell>
          <cell r="CL90">
            <v>2177.6882951471657</v>
          </cell>
          <cell r="CM90">
            <v>31130.069425184796</v>
          </cell>
          <cell r="CQ90">
            <v>15234.619188921859</v>
          </cell>
          <cell r="CR90">
            <v>50845.77</v>
          </cell>
          <cell r="CS90">
            <v>54967.190761142439</v>
          </cell>
          <cell r="CT90">
            <v>121047.57995006429</v>
          </cell>
          <cell r="CU90">
            <v>0</v>
          </cell>
          <cell r="CV90">
            <v>0</v>
          </cell>
          <cell r="CW90">
            <v>0</v>
          </cell>
          <cell r="CX90">
            <v>146920.57861599582</v>
          </cell>
          <cell r="CZ90">
            <v>146920.57861599582</v>
          </cell>
          <cell r="DC90">
            <v>0</v>
          </cell>
          <cell r="DD90">
            <v>138490.52447340157</v>
          </cell>
          <cell r="DE90">
            <v>200323.04095612885</v>
          </cell>
          <cell r="DF90">
            <v>7705.0568227735575</v>
          </cell>
          <cell r="DG90">
            <v>0</v>
          </cell>
          <cell r="DH90">
            <v>0</v>
          </cell>
          <cell r="DI90">
            <v>346518.62225230399</v>
          </cell>
          <cell r="DJ90">
            <v>0</v>
          </cell>
          <cell r="DK90">
            <v>25877</v>
          </cell>
          <cell r="DL90">
            <v>5534.35</v>
          </cell>
          <cell r="DM90">
            <v>70073.495851086889</v>
          </cell>
          <cell r="DN90">
            <v>0</v>
          </cell>
          <cell r="DO90">
            <v>0</v>
          </cell>
          <cell r="DP90">
            <v>0</v>
          </cell>
          <cell r="DQ90">
            <v>101484.84585108689</v>
          </cell>
          <cell r="DR90">
            <v>0</v>
          </cell>
          <cell r="DS90">
            <v>0</v>
          </cell>
          <cell r="DT90">
            <v>0</v>
          </cell>
          <cell r="DU90">
            <v>0</v>
          </cell>
          <cell r="DV90">
            <v>0</v>
          </cell>
          <cell r="DW90">
            <v>0</v>
          </cell>
          <cell r="DX90">
            <v>0</v>
          </cell>
          <cell r="DY90">
            <v>8169.5986060026298</v>
          </cell>
          <cell r="DZ90">
            <v>0</v>
          </cell>
          <cell r="EA90">
            <v>0</v>
          </cell>
          <cell r="EB90">
            <v>8169.5986060026298</v>
          </cell>
          <cell r="EE90">
            <v>0</v>
          </cell>
          <cell r="EH90">
            <v>0</v>
          </cell>
          <cell r="EI90">
            <v>0</v>
          </cell>
          <cell r="EK90">
            <v>0</v>
          </cell>
          <cell r="EL90">
            <v>0</v>
          </cell>
          <cell r="EM90">
            <v>0</v>
          </cell>
          <cell r="EO90">
            <v>0</v>
          </cell>
          <cell r="EP90">
            <v>37135.745870695217</v>
          </cell>
          <cell r="EQ90">
            <v>174215.15287857119</v>
          </cell>
          <cell r="ER90">
            <v>1765253.6209467498</v>
          </cell>
          <cell r="ET90">
            <v>351.63157894736844</v>
          </cell>
          <cell r="EU90">
            <v>5020.1794339153184</v>
          </cell>
          <cell r="EV90" t="str">
            <v>No Variation Applied</v>
          </cell>
          <cell r="EW90">
            <v>66600</v>
          </cell>
          <cell r="EX90">
            <v>0</v>
          </cell>
          <cell r="EY90">
            <v>0</v>
          </cell>
          <cell r="EZ90">
            <v>389953.32970996998</v>
          </cell>
        </row>
        <row r="91">
          <cell r="C91" t="str">
            <v>Derby St Chad's CofE (VC) Nursery and Infant School</v>
          </cell>
          <cell r="D91">
            <v>3158</v>
          </cell>
          <cell r="F91" t="str">
            <v/>
          </cell>
          <cell r="G91">
            <v>0</v>
          </cell>
          <cell r="H91">
            <v>32670</v>
          </cell>
          <cell r="I91">
            <v>0</v>
          </cell>
          <cell r="J91">
            <v>0</v>
          </cell>
          <cell r="L91">
            <v>114228.40865804742</v>
          </cell>
          <cell r="M91">
            <v>32670</v>
          </cell>
          <cell r="N91">
            <v>34.389473684210529</v>
          </cell>
          <cell r="S91">
            <v>0</v>
          </cell>
          <cell r="T91">
            <v>0</v>
          </cell>
          <cell r="U91">
            <v>40</v>
          </cell>
          <cell r="Y91">
            <v>41</v>
          </cell>
          <cell r="Z91">
            <v>38</v>
          </cell>
          <cell r="AA91">
            <v>0</v>
          </cell>
          <cell r="AB91">
            <v>0</v>
          </cell>
          <cell r="AC91">
            <v>0</v>
          </cell>
          <cell r="AD91">
            <v>0</v>
          </cell>
          <cell r="AK91">
            <v>309847.21345507959</v>
          </cell>
          <cell r="AL91">
            <v>119</v>
          </cell>
          <cell r="BS91">
            <v>21121.464</v>
          </cell>
          <cell r="BT91">
            <v>0</v>
          </cell>
          <cell r="BU91">
            <v>5918.652</v>
          </cell>
          <cell r="BV91">
            <v>0</v>
          </cell>
          <cell r="BW91">
            <v>0</v>
          </cell>
          <cell r="BX91">
            <v>4676.6003999999957</v>
          </cell>
          <cell r="BY91">
            <v>0</v>
          </cell>
          <cell r="BZ91">
            <v>3011.5493999999999</v>
          </cell>
          <cell r="CA91">
            <v>0</v>
          </cell>
          <cell r="CB91">
            <v>0</v>
          </cell>
          <cell r="CC91">
            <v>0</v>
          </cell>
          <cell r="CD91">
            <v>0</v>
          </cell>
          <cell r="CE91">
            <v>34728.265799999994</v>
          </cell>
          <cell r="CF91">
            <v>22680.611130037629</v>
          </cell>
          <cell r="CI91">
            <v>0</v>
          </cell>
          <cell r="CJ91">
            <v>0</v>
          </cell>
          <cell r="CK91">
            <v>2415.34</v>
          </cell>
          <cell r="CL91">
            <v>788.73869347202992</v>
          </cell>
          <cell r="CM91">
            <v>25884.68982350966</v>
          </cell>
          <cell r="CQ91">
            <v>9140.7715133531146</v>
          </cell>
          <cell r="CR91">
            <v>19293.259999999998</v>
          </cell>
          <cell r="CS91">
            <v>16773.076592554495</v>
          </cell>
          <cell r="CT91">
            <v>45207.10810590761</v>
          </cell>
          <cell r="CU91">
            <v>2502.698959183982</v>
          </cell>
          <cell r="CV91">
            <v>0</v>
          </cell>
          <cell r="CW91">
            <v>2502.698959183982</v>
          </cell>
          <cell r="CX91">
            <v>0</v>
          </cell>
          <cell r="CZ91">
            <v>0</v>
          </cell>
          <cell r="DC91">
            <v>0</v>
          </cell>
          <cell r="DD91">
            <v>45185.280266904738</v>
          </cell>
          <cell r="DE91">
            <v>75718.016615653687</v>
          </cell>
          <cell r="DF91">
            <v>856.11742475261747</v>
          </cell>
          <cell r="DG91">
            <v>0</v>
          </cell>
          <cell r="DH91">
            <v>0</v>
          </cell>
          <cell r="DI91">
            <v>121759.41430731105</v>
          </cell>
          <cell r="DJ91">
            <v>0</v>
          </cell>
          <cell r="DK91">
            <v>1359.48</v>
          </cell>
          <cell r="DL91">
            <v>2248.44</v>
          </cell>
          <cell r="DM91">
            <v>74722.185859261808</v>
          </cell>
          <cell r="DN91">
            <v>0</v>
          </cell>
          <cell r="DO91">
            <v>0</v>
          </cell>
          <cell r="DP91">
            <v>0</v>
          </cell>
          <cell r="DQ91">
            <v>78330.105859261806</v>
          </cell>
          <cell r="DR91">
            <v>0</v>
          </cell>
          <cell r="DS91">
            <v>0</v>
          </cell>
          <cell r="DT91">
            <v>0</v>
          </cell>
          <cell r="DU91">
            <v>0</v>
          </cell>
          <cell r="DV91">
            <v>0</v>
          </cell>
          <cell r="DW91">
            <v>0</v>
          </cell>
          <cell r="DX91">
            <v>0</v>
          </cell>
          <cell r="DY91">
            <v>3267.8394424010521</v>
          </cell>
          <cell r="DZ91">
            <v>0</v>
          </cell>
          <cell r="EA91">
            <v>1866.5219672743483</v>
          </cell>
          <cell r="EB91">
            <v>5134.3614096754009</v>
          </cell>
          <cell r="EE91">
            <v>0</v>
          </cell>
          <cell r="EH91">
            <v>0</v>
          </cell>
          <cell r="EI91">
            <v>0</v>
          </cell>
          <cell r="EK91">
            <v>0</v>
          </cell>
          <cell r="EL91">
            <v>1502</v>
          </cell>
          <cell r="EM91">
            <v>0</v>
          </cell>
          <cell r="EO91">
            <v>1502</v>
          </cell>
          <cell r="EP91">
            <v>16415.275421207887</v>
          </cell>
          <cell r="EQ91">
            <v>148956.67445804743</v>
          </cell>
          <cell r="ER91">
            <v>755539.54179918452</v>
          </cell>
          <cell r="ET91">
            <v>153.38947368421054</v>
          </cell>
          <cell r="EU91">
            <v>4925.6283606177958</v>
          </cell>
          <cell r="EV91" t="str">
            <v>No Variation Applied</v>
          </cell>
          <cell r="EW91">
            <v>23400</v>
          </cell>
          <cell r="EX91">
            <v>0</v>
          </cell>
          <cell r="EY91">
            <v>0</v>
          </cell>
          <cell r="EZ91">
            <v>94167.494455598964</v>
          </cell>
        </row>
        <row r="92">
          <cell r="C92" t="str">
            <v>Bishop Lonsdale Church of England Aided Primary School and Nursery</v>
          </cell>
          <cell r="D92">
            <v>3525</v>
          </cell>
          <cell r="F92" t="str">
            <v/>
          </cell>
          <cell r="G92">
            <v>0</v>
          </cell>
          <cell r="H92">
            <v>26214</v>
          </cell>
          <cell r="I92">
            <v>0</v>
          </cell>
          <cell r="J92">
            <v>0</v>
          </cell>
          <cell r="L92">
            <v>91655.448563270736</v>
          </cell>
          <cell r="M92">
            <v>26214</v>
          </cell>
          <cell r="N92">
            <v>27.593684210526316</v>
          </cell>
          <cell r="S92">
            <v>0</v>
          </cell>
          <cell r="T92">
            <v>0</v>
          </cell>
          <cell r="U92">
            <v>30</v>
          </cell>
          <cell r="Y92">
            <v>29</v>
          </cell>
          <cell r="Z92">
            <v>30</v>
          </cell>
          <cell r="AA92">
            <v>29</v>
          </cell>
          <cell r="AB92">
            <v>29</v>
          </cell>
          <cell r="AC92">
            <v>28</v>
          </cell>
          <cell r="AD92">
            <v>27</v>
          </cell>
          <cell r="AK92">
            <v>522104.0812722363</v>
          </cell>
          <cell r="AL92">
            <v>202</v>
          </cell>
          <cell r="BS92">
            <v>5013.4464000000007</v>
          </cell>
          <cell r="BT92">
            <v>0</v>
          </cell>
          <cell r="BU92">
            <v>417.78720000000004</v>
          </cell>
          <cell r="BV92">
            <v>0</v>
          </cell>
          <cell r="BW92">
            <v>0</v>
          </cell>
          <cell r="BX92">
            <v>-2174.6742000000086</v>
          </cell>
          <cell r="BY92">
            <v>0</v>
          </cell>
          <cell r="BZ92">
            <v>1003.8498</v>
          </cell>
          <cell r="CA92">
            <v>0</v>
          </cell>
          <cell r="CB92">
            <v>0</v>
          </cell>
          <cell r="CC92">
            <v>0</v>
          </cell>
          <cell r="CD92">
            <v>0</v>
          </cell>
          <cell r="CE92">
            <v>4260.4091999999919</v>
          </cell>
          <cell r="CF92">
            <v>11340.305565018814</v>
          </cell>
          <cell r="CI92">
            <v>0</v>
          </cell>
          <cell r="CJ92">
            <v>0</v>
          </cell>
          <cell r="CK92">
            <v>4099.99</v>
          </cell>
          <cell r="CL92">
            <v>2535.5063365759402</v>
          </cell>
          <cell r="CM92">
            <v>17975.801901594754</v>
          </cell>
          <cell r="CQ92">
            <v>6855.5786350148364</v>
          </cell>
          <cell r="CR92">
            <v>4823.3100000000004</v>
          </cell>
          <cell r="CS92">
            <v>11114.689308319244</v>
          </cell>
          <cell r="CT92">
            <v>22793.577943334079</v>
          </cell>
          <cell r="CU92">
            <v>14515.653963267096</v>
          </cell>
          <cell r="CV92">
            <v>0</v>
          </cell>
          <cell r="CW92">
            <v>14515.653963267096</v>
          </cell>
          <cell r="CX92">
            <v>0</v>
          </cell>
          <cell r="CZ92">
            <v>0</v>
          </cell>
          <cell r="DC92">
            <v>0</v>
          </cell>
          <cell r="DD92">
            <v>75092.508850874321</v>
          </cell>
          <cell r="DE92">
            <v>63666.800757907011</v>
          </cell>
          <cell r="DF92">
            <v>6848.9393980209397</v>
          </cell>
          <cell r="DG92">
            <v>0</v>
          </cell>
          <cell r="DH92">
            <v>0</v>
          </cell>
          <cell r="DI92">
            <v>145608.24900680227</v>
          </cell>
          <cell r="DJ92">
            <v>0</v>
          </cell>
          <cell r="DK92">
            <v>4946.3999999999996</v>
          </cell>
          <cell r="DL92">
            <v>1797.04</v>
          </cell>
          <cell r="DM92">
            <v>70073.495851086889</v>
          </cell>
          <cell r="DN92">
            <v>0</v>
          </cell>
          <cell r="DO92">
            <v>0</v>
          </cell>
          <cell r="DP92">
            <v>0</v>
          </cell>
          <cell r="DQ92">
            <v>76816.935851086891</v>
          </cell>
          <cell r="DR92">
            <v>0</v>
          </cell>
          <cell r="DS92">
            <v>0</v>
          </cell>
          <cell r="DT92">
            <v>0</v>
          </cell>
          <cell r="DU92">
            <v>0</v>
          </cell>
          <cell r="DV92">
            <v>0</v>
          </cell>
          <cell r="DW92">
            <v>0</v>
          </cell>
          <cell r="DX92">
            <v>0</v>
          </cell>
          <cell r="DY92">
            <v>5228.5431078416832</v>
          </cell>
          <cell r="DZ92">
            <v>697.62975539376976</v>
          </cell>
          <cell r="EA92">
            <v>0</v>
          </cell>
          <cell r="EB92">
            <v>5926.1728632354534</v>
          </cell>
          <cell r="EE92">
            <v>0</v>
          </cell>
          <cell r="EH92">
            <v>0</v>
          </cell>
          <cell r="EI92">
            <v>0</v>
          </cell>
          <cell r="EK92">
            <v>0</v>
          </cell>
          <cell r="EL92">
            <v>8259</v>
          </cell>
          <cell r="EM92">
            <v>0</v>
          </cell>
          <cell r="EO92">
            <v>8259</v>
          </cell>
          <cell r="EP92">
            <v>13347.972446721629</v>
          </cell>
          <cell r="EQ92">
            <v>95915.857763270731</v>
          </cell>
          <cell r="ER92">
            <v>923263.30301154929</v>
          </cell>
          <cell r="ET92">
            <v>229.59368421052631</v>
          </cell>
          <cell r="EU92">
            <v>4021.2922502038928</v>
          </cell>
          <cell r="EV92" t="str">
            <v>No Variation Applied</v>
          </cell>
          <cell r="EW92">
            <v>37800</v>
          </cell>
          <cell r="EX92">
            <v>0</v>
          </cell>
          <cell r="EY92">
            <v>0</v>
          </cell>
          <cell r="EZ92">
            <v>123258.8410449239</v>
          </cell>
        </row>
        <row r="93">
          <cell r="C93" t="str">
            <v>St James' Church of England Aided Infant School</v>
          </cell>
          <cell r="D93">
            <v>3526</v>
          </cell>
          <cell r="F93" t="str">
            <v/>
          </cell>
          <cell r="G93">
            <v>0</v>
          </cell>
          <cell r="H93">
            <v>20430</v>
          </cell>
          <cell r="I93">
            <v>0</v>
          </cell>
          <cell r="J93">
            <v>0</v>
          </cell>
          <cell r="L93">
            <v>71432.0902627459</v>
          </cell>
          <cell r="M93">
            <v>20430</v>
          </cell>
          <cell r="N93">
            <v>21.505263157894738</v>
          </cell>
          <cell r="S93">
            <v>0</v>
          </cell>
          <cell r="T93">
            <v>0</v>
          </cell>
          <cell r="U93">
            <v>28</v>
          </cell>
          <cell r="Y93">
            <v>30</v>
          </cell>
          <cell r="Z93">
            <v>30</v>
          </cell>
          <cell r="AA93">
            <v>0</v>
          </cell>
          <cell r="AB93">
            <v>0</v>
          </cell>
          <cell r="AC93">
            <v>0</v>
          </cell>
          <cell r="AD93">
            <v>0</v>
          </cell>
          <cell r="AK93">
            <v>228409.59805691283</v>
          </cell>
          <cell r="AL93">
            <v>88</v>
          </cell>
          <cell r="BS93">
            <v>11489.148000000001</v>
          </cell>
          <cell r="BT93">
            <v>0</v>
          </cell>
          <cell r="BU93">
            <v>2204.9880000000003</v>
          </cell>
          <cell r="BV93">
            <v>0</v>
          </cell>
          <cell r="BW93">
            <v>0</v>
          </cell>
          <cell r="BX93">
            <v>-16409.817800000004</v>
          </cell>
          <cell r="BY93">
            <v>0</v>
          </cell>
          <cell r="BZ93">
            <v>2007.6995999999999</v>
          </cell>
          <cell r="CA93">
            <v>0</v>
          </cell>
          <cell r="CB93">
            <v>0</v>
          </cell>
          <cell r="CC93">
            <v>0</v>
          </cell>
          <cell r="CD93">
            <v>0</v>
          </cell>
          <cell r="CE93">
            <v>-707.98220000000219</v>
          </cell>
          <cell r="CF93">
            <v>11340.305565018814</v>
          </cell>
          <cell r="CI93">
            <v>0</v>
          </cell>
          <cell r="CJ93">
            <v>1522.79</v>
          </cell>
          <cell r="CK93">
            <v>1786.14</v>
          </cell>
          <cell r="CL93">
            <v>977.26647874095408</v>
          </cell>
          <cell r="CM93">
            <v>15626.502043759769</v>
          </cell>
          <cell r="CQ93">
            <v>5332.1167161226504</v>
          </cell>
          <cell r="CR93">
            <v>9445.66</v>
          </cell>
          <cell r="CS93">
            <v>10508.433527865467</v>
          </cell>
          <cell r="CT93">
            <v>25286.21024398812</v>
          </cell>
          <cell r="CU93">
            <v>0</v>
          </cell>
          <cell r="CV93">
            <v>0</v>
          </cell>
          <cell r="CW93">
            <v>0</v>
          </cell>
          <cell r="CX93">
            <v>0</v>
          </cell>
          <cell r="CZ93">
            <v>0</v>
          </cell>
          <cell r="DC93">
            <v>0</v>
          </cell>
          <cell r="DD93">
            <v>37148.081263816268</v>
          </cell>
          <cell r="DE93">
            <v>58664.409269785741</v>
          </cell>
          <cell r="DF93">
            <v>1712.2348495052349</v>
          </cell>
          <cell r="DG93">
            <v>0</v>
          </cell>
          <cell r="DH93">
            <v>0</v>
          </cell>
          <cell r="DI93">
            <v>97524.725383107245</v>
          </cell>
          <cell r="DJ93">
            <v>2289.2399999999998</v>
          </cell>
          <cell r="DK93">
            <v>956.73</v>
          </cell>
          <cell r="DL93">
            <v>1551.57</v>
          </cell>
          <cell r="DM93">
            <v>74722.185859261808</v>
          </cell>
          <cell r="DN93">
            <v>0</v>
          </cell>
          <cell r="DO93">
            <v>0</v>
          </cell>
          <cell r="DP93">
            <v>0</v>
          </cell>
          <cell r="DQ93">
            <v>79519.725859261802</v>
          </cell>
          <cell r="DR93">
            <v>0</v>
          </cell>
          <cell r="DS93">
            <v>0</v>
          </cell>
          <cell r="DT93">
            <v>0</v>
          </cell>
          <cell r="DU93">
            <v>0</v>
          </cell>
          <cell r="DV93">
            <v>0</v>
          </cell>
          <cell r="DW93">
            <v>0</v>
          </cell>
          <cell r="DX93">
            <v>0</v>
          </cell>
          <cell r="DY93">
            <v>2614.2715539208416</v>
          </cell>
          <cell r="DZ93">
            <v>303.91791324085017</v>
          </cell>
          <cell r="EA93">
            <v>14257.493434737313</v>
          </cell>
          <cell r="EB93">
            <v>17175.682901899003</v>
          </cell>
          <cell r="EE93">
            <v>0</v>
          </cell>
          <cell r="EH93">
            <v>0</v>
          </cell>
          <cell r="EI93">
            <v>0</v>
          </cell>
          <cell r="EK93">
            <v>0</v>
          </cell>
          <cell r="EL93">
            <v>0</v>
          </cell>
          <cell r="EM93">
            <v>0</v>
          </cell>
          <cell r="EO93">
            <v>0</v>
          </cell>
          <cell r="EP93">
            <v>0</v>
          </cell>
          <cell r="EQ93">
            <v>70724.108062745901</v>
          </cell>
          <cell r="ER93">
            <v>534266.55255167466</v>
          </cell>
          <cell r="ET93">
            <v>109.50526315789475</v>
          </cell>
          <cell r="EU93">
            <v>4878.912091935892</v>
          </cell>
          <cell r="EV93" t="str">
            <v>No Variation Applied</v>
          </cell>
          <cell r="EW93">
            <v>16800</v>
          </cell>
          <cell r="EX93">
            <v>0</v>
          </cell>
          <cell r="EY93">
            <v>0</v>
          </cell>
          <cell r="EZ93">
            <v>64156.116180947378</v>
          </cell>
        </row>
        <row r="94">
          <cell r="C94" t="str">
            <v>St Mary's Catholic Primary School and Nursery</v>
          </cell>
          <cell r="D94">
            <v>3528</v>
          </cell>
          <cell r="F94" t="str">
            <v/>
          </cell>
          <cell r="G94">
            <v>0</v>
          </cell>
          <cell r="H94">
            <v>23892</v>
          </cell>
          <cell r="I94">
            <v>0</v>
          </cell>
          <cell r="J94">
            <v>0</v>
          </cell>
          <cell r="L94">
            <v>83536.735220632661</v>
          </cell>
          <cell r="M94">
            <v>23892</v>
          </cell>
          <cell r="N94">
            <v>25.149473684210527</v>
          </cell>
          <cell r="S94">
            <v>0</v>
          </cell>
          <cell r="T94">
            <v>0</v>
          </cell>
          <cell r="U94">
            <v>42</v>
          </cell>
          <cell r="Y94">
            <v>45</v>
          </cell>
          <cell r="Z94">
            <v>47</v>
          </cell>
          <cell r="AA94">
            <v>50</v>
          </cell>
          <cell r="AB94">
            <v>46</v>
          </cell>
          <cell r="AC94">
            <v>43</v>
          </cell>
          <cell r="AD94">
            <v>51</v>
          </cell>
          <cell r="AK94">
            <v>835682.65055394033</v>
          </cell>
          <cell r="AL94">
            <v>324</v>
          </cell>
          <cell r="BS94">
            <v>4293.924</v>
          </cell>
          <cell r="BT94">
            <v>0</v>
          </cell>
          <cell r="BU94">
            <v>1253.3616000000002</v>
          </cell>
          <cell r="BV94">
            <v>0</v>
          </cell>
          <cell r="BW94">
            <v>0</v>
          </cell>
          <cell r="BX94">
            <v>12564.387999999999</v>
          </cell>
          <cell r="BY94">
            <v>0</v>
          </cell>
          <cell r="BZ94">
            <v>0</v>
          </cell>
          <cell r="CA94">
            <v>0</v>
          </cell>
          <cell r="CB94">
            <v>0</v>
          </cell>
          <cell r="CC94">
            <v>0</v>
          </cell>
          <cell r="CD94">
            <v>0</v>
          </cell>
          <cell r="CE94">
            <v>18111.673599999998</v>
          </cell>
          <cell r="CF94">
            <v>22680.611130037629</v>
          </cell>
          <cell r="CI94">
            <v>0</v>
          </cell>
          <cell r="CJ94">
            <v>0</v>
          </cell>
          <cell r="CK94">
            <v>6576.23</v>
          </cell>
          <cell r="CL94">
            <v>4844.0098296648084</v>
          </cell>
          <cell r="CM94">
            <v>34100.850959702439</v>
          </cell>
          <cell r="CQ94">
            <v>6093.8476755687434</v>
          </cell>
          <cell r="CR94">
            <v>14469.94</v>
          </cell>
          <cell r="CS94">
            <v>6870.8988451428049</v>
          </cell>
          <cell r="CT94">
            <v>27434.686520711548</v>
          </cell>
          <cell r="CU94">
            <v>2502.698959183982</v>
          </cell>
          <cell r="CV94">
            <v>0</v>
          </cell>
          <cell r="CW94">
            <v>2502.698959183982</v>
          </cell>
          <cell r="CX94">
            <v>0</v>
          </cell>
          <cell r="CZ94">
            <v>0</v>
          </cell>
          <cell r="DC94">
            <v>0</v>
          </cell>
          <cell r="DD94">
            <v>62262.484754200981</v>
          </cell>
          <cell r="DE94">
            <v>88451.376767235095</v>
          </cell>
          <cell r="DF94">
            <v>7705.0568227735575</v>
          </cell>
          <cell r="DG94">
            <v>0</v>
          </cell>
          <cell r="DH94">
            <v>0</v>
          </cell>
          <cell r="DI94">
            <v>158418.91834420964</v>
          </cell>
          <cell r="DJ94">
            <v>0</v>
          </cell>
          <cell r="DK94">
            <v>7557</v>
          </cell>
          <cell r="DL94">
            <v>3466.71</v>
          </cell>
          <cell r="DM94">
            <v>70073.495851086889</v>
          </cell>
          <cell r="DN94">
            <v>0</v>
          </cell>
          <cell r="DO94">
            <v>0</v>
          </cell>
          <cell r="DP94">
            <v>0</v>
          </cell>
          <cell r="DQ94">
            <v>81097.205851086881</v>
          </cell>
          <cell r="DR94">
            <v>0</v>
          </cell>
          <cell r="DS94">
            <v>0</v>
          </cell>
          <cell r="DT94">
            <v>0</v>
          </cell>
          <cell r="DU94">
            <v>0</v>
          </cell>
          <cell r="DV94">
            <v>0</v>
          </cell>
          <cell r="DW94">
            <v>0</v>
          </cell>
          <cell r="DX94">
            <v>0</v>
          </cell>
          <cell r="DY94">
            <v>6208.8949405619987</v>
          </cell>
          <cell r="DZ94">
            <v>1118.9704987504028</v>
          </cell>
          <cell r="EA94">
            <v>0</v>
          </cell>
          <cell r="EB94">
            <v>7327.8654393124016</v>
          </cell>
          <cell r="EE94">
            <v>0</v>
          </cell>
          <cell r="EH94">
            <v>0</v>
          </cell>
          <cell r="EI94">
            <v>0</v>
          </cell>
          <cell r="EK94">
            <v>0</v>
          </cell>
          <cell r="EL94">
            <v>4505</v>
          </cell>
          <cell r="EM94">
            <v>0</v>
          </cell>
          <cell r="EO94">
            <v>4505</v>
          </cell>
          <cell r="EP94">
            <v>0</v>
          </cell>
          <cell r="EQ94">
            <v>101648.40882063266</v>
          </cell>
          <cell r="ER94">
            <v>1252718.2854487796</v>
          </cell>
          <cell r="ET94">
            <v>349.14947368421053</v>
          </cell>
          <cell r="EU94">
            <v>3587.9140020752402</v>
          </cell>
          <cell r="EV94" t="str">
            <v>No Variation Applied</v>
          </cell>
          <cell r="EW94">
            <v>40450</v>
          </cell>
          <cell r="EX94">
            <v>0</v>
          </cell>
          <cell r="EY94">
            <v>0</v>
          </cell>
          <cell r="EZ94">
            <v>114086.11202520624</v>
          </cell>
        </row>
        <row r="95">
          <cell r="C95" t="str">
            <v>Walter Evans Church of England Aided Primary School</v>
          </cell>
          <cell r="D95">
            <v>3530</v>
          </cell>
          <cell r="F95" t="str">
            <v/>
          </cell>
          <cell r="G95">
            <v>0</v>
          </cell>
          <cell r="H95">
            <v>26760</v>
          </cell>
          <cell r="I95">
            <v>0</v>
          </cell>
          <cell r="J95">
            <v>0</v>
          </cell>
          <cell r="L95">
            <v>93564.500021100364</v>
          </cell>
          <cell r="M95">
            <v>26760</v>
          </cell>
          <cell r="N95">
            <v>28.168421052631579</v>
          </cell>
          <cell r="S95">
            <v>0</v>
          </cell>
          <cell r="T95">
            <v>0</v>
          </cell>
          <cell r="U95">
            <v>44</v>
          </cell>
          <cell r="Y95">
            <v>44</v>
          </cell>
          <cell r="Z95">
            <v>38</v>
          </cell>
          <cell r="AA95">
            <v>49</v>
          </cell>
          <cell r="AB95">
            <v>44</v>
          </cell>
          <cell r="AC95">
            <v>41</v>
          </cell>
          <cell r="AD95">
            <v>32</v>
          </cell>
          <cell r="AK95">
            <v>755329.63964485866</v>
          </cell>
          <cell r="AL95">
            <v>292</v>
          </cell>
          <cell r="BS95">
            <v>580.26</v>
          </cell>
          <cell r="BT95">
            <v>0</v>
          </cell>
          <cell r="BU95">
            <v>348.15600000000001</v>
          </cell>
          <cell r="BV95">
            <v>0</v>
          </cell>
          <cell r="BW95">
            <v>0</v>
          </cell>
          <cell r="BX95">
            <v>-6110.1040000000066</v>
          </cell>
          <cell r="BY95">
            <v>0</v>
          </cell>
          <cell r="BZ95">
            <v>2007.6995999999999</v>
          </cell>
          <cell r="CA95">
            <v>0</v>
          </cell>
          <cell r="CB95">
            <v>0</v>
          </cell>
          <cell r="CC95">
            <v>0</v>
          </cell>
          <cell r="CD95">
            <v>0</v>
          </cell>
          <cell r="CE95">
            <v>-3173.9884000000065</v>
          </cell>
          <cell r="CF95">
            <v>22680.611130037629</v>
          </cell>
          <cell r="CI95">
            <v>0</v>
          </cell>
          <cell r="CJ95">
            <v>0</v>
          </cell>
          <cell r="CK95">
            <v>5926.72</v>
          </cell>
          <cell r="CL95">
            <v>4928.6549577447331</v>
          </cell>
          <cell r="CM95">
            <v>33535.986087782367</v>
          </cell>
          <cell r="CQ95">
            <v>0</v>
          </cell>
          <cell r="CR95">
            <v>401.94</v>
          </cell>
          <cell r="CS95">
            <v>404.17052030251796</v>
          </cell>
          <cell r="CT95">
            <v>806.1105203025179</v>
          </cell>
          <cell r="CU95">
            <v>2502.698959183982</v>
          </cell>
          <cell r="CV95">
            <v>0</v>
          </cell>
          <cell r="CW95">
            <v>2502.698959183982</v>
          </cell>
          <cell r="CX95">
            <v>0</v>
          </cell>
          <cell r="CZ95">
            <v>0</v>
          </cell>
          <cell r="DC95">
            <v>0</v>
          </cell>
          <cell r="DD95">
            <v>10381.996510411533</v>
          </cell>
          <cell r="DE95">
            <v>5229.7729193995046</v>
          </cell>
          <cell r="DF95">
            <v>1712.2348495052349</v>
          </cell>
          <cell r="DG95">
            <v>0</v>
          </cell>
          <cell r="DH95">
            <v>0</v>
          </cell>
          <cell r="DI95">
            <v>17324.004279316272</v>
          </cell>
          <cell r="DJ95">
            <v>0</v>
          </cell>
          <cell r="DK95">
            <v>2496.1</v>
          </cell>
          <cell r="DL95">
            <v>4036.34</v>
          </cell>
          <cell r="DM95">
            <v>70073.495851086889</v>
          </cell>
          <cell r="DN95">
            <v>0</v>
          </cell>
          <cell r="DO95">
            <v>0</v>
          </cell>
          <cell r="DP95">
            <v>0</v>
          </cell>
          <cell r="DQ95">
            <v>76605.935851086891</v>
          </cell>
          <cell r="DR95">
            <v>0</v>
          </cell>
          <cell r="DS95">
            <v>0</v>
          </cell>
          <cell r="DT95">
            <v>0</v>
          </cell>
          <cell r="DU95">
            <v>0</v>
          </cell>
          <cell r="DV95">
            <v>0</v>
          </cell>
          <cell r="DW95">
            <v>0</v>
          </cell>
          <cell r="DX95">
            <v>0</v>
          </cell>
          <cell r="DY95">
            <v>4901.7591636015777</v>
          </cell>
          <cell r="DZ95">
            <v>1008.4548939355483</v>
          </cell>
          <cell r="EA95">
            <v>0</v>
          </cell>
          <cell r="EB95">
            <v>5910.2140575371259</v>
          </cell>
          <cell r="EE95">
            <v>0</v>
          </cell>
          <cell r="EH95">
            <v>0</v>
          </cell>
          <cell r="EI95">
            <v>0</v>
          </cell>
          <cell r="EK95">
            <v>0</v>
          </cell>
          <cell r="EL95">
            <v>0</v>
          </cell>
          <cell r="EM95">
            <v>0</v>
          </cell>
          <cell r="EO95">
            <v>0</v>
          </cell>
          <cell r="EP95">
            <v>0</v>
          </cell>
          <cell r="EQ95">
            <v>90390.511621100362</v>
          </cell>
          <cell r="ER95">
            <v>982405.10102116817</v>
          </cell>
          <cell r="ET95">
            <v>320.16842105263157</v>
          </cell>
          <cell r="EU95">
            <v>3068.4009928002033</v>
          </cell>
          <cell r="EV95" t="str">
            <v>No Variation Applied</v>
          </cell>
          <cell r="EW95">
            <v>7950</v>
          </cell>
          <cell r="EX95">
            <v>0</v>
          </cell>
          <cell r="EY95">
            <v>0</v>
          </cell>
          <cell r="EZ95">
            <v>34504.107192862066</v>
          </cell>
        </row>
        <row r="96">
          <cell r="C96" t="str">
            <v>St George's Catholic Primary School</v>
          </cell>
          <cell r="D96">
            <v>3531</v>
          </cell>
          <cell r="F96" t="str">
            <v/>
          </cell>
          <cell r="G96">
            <v>0</v>
          </cell>
          <cell r="H96">
            <v>0</v>
          </cell>
          <cell r="I96">
            <v>0</v>
          </cell>
          <cell r="J96">
            <v>0</v>
          </cell>
          <cell r="L96">
            <v>0</v>
          </cell>
          <cell r="M96">
            <v>0</v>
          </cell>
          <cell r="N96">
            <v>0</v>
          </cell>
          <cell r="S96">
            <v>0</v>
          </cell>
          <cell r="T96">
            <v>0</v>
          </cell>
          <cell r="U96">
            <v>51</v>
          </cell>
          <cell r="Y96">
            <v>51</v>
          </cell>
          <cell r="Z96">
            <v>51</v>
          </cell>
          <cell r="AA96">
            <v>52</v>
          </cell>
          <cell r="AB96">
            <v>52</v>
          </cell>
          <cell r="AC96">
            <v>43</v>
          </cell>
          <cell r="AD96">
            <v>50</v>
          </cell>
          <cell r="AK96">
            <v>904332.08363974979</v>
          </cell>
          <cell r="AL96">
            <v>350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22680.611130037629</v>
          </cell>
          <cell r="CI96">
            <v>0</v>
          </cell>
          <cell r="CJ96">
            <v>0</v>
          </cell>
          <cell r="CK96">
            <v>7103.95</v>
          </cell>
          <cell r="CL96">
            <v>4490.0392940578486</v>
          </cell>
          <cell r="CM96">
            <v>34274.600424095479</v>
          </cell>
          <cell r="CQ96">
            <v>5332.1167161226504</v>
          </cell>
          <cell r="CR96">
            <v>7234.97</v>
          </cell>
          <cell r="CS96">
            <v>15964.735551949459</v>
          </cell>
          <cell r="CT96">
            <v>28531.822268072108</v>
          </cell>
          <cell r="CU96">
            <v>3003.2387510207782</v>
          </cell>
          <cell r="CV96">
            <v>0</v>
          </cell>
          <cell r="CW96">
            <v>3003.2387510207782</v>
          </cell>
          <cell r="CX96">
            <v>0</v>
          </cell>
          <cell r="CZ96">
            <v>0</v>
          </cell>
          <cell r="DC96">
            <v>0</v>
          </cell>
          <cell r="DD96">
            <v>116812.20789626383</v>
          </cell>
          <cell r="DE96">
            <v>114600.24136423261</v>
          </cell>
          <cell r="DF96">
            <v>8561.1742475261744</v>
          </cell>
          <cell r="DG96">
            <v>0</v>
          </cell>
          <cell r="DH96">
            <v>0</v>
          </cell>
          <cell r="DI96">
            <v>239973.62350802263</v>
          </cell>
          <cell r="DJ96">
            <v>0</v>
          </cell>
          <cell r="DK96">
            <v>2885.4</v>
          </cell>
          <cell r="DL96">
            <v>8064.18</v>
          </cell>
          <cell r="DM96">
            <v>70073.495851086889</v>
          </cell>
          <cell r="DN96">
            <v>0</v>
          </cell>
          <cell r="DO96">
            <v>0</v>
          </cell>
          <cell r="DP96">
            <v>0</v>
          </cell>
          <cell r="DQ96">
            <v>81023.075851086891</v>
          </cell>
          <cell r="DR96">
            <v>0</v>
          </cell>
          <cell r="DS96">
            <v>0</v>
          </cell>
          <cell r="DT96">
            <v>0</v>
          </cell>
          <cell r="DU96">
            <v>0</v>
          </cell>
          <cell r="DV96">
            <v>0</v>
          </cell>
          <cell r="DW96">
            <v>0</v>
          </cell>
          <cell r="DX96">
            <v>0</v>
          </cell>
          <cell r="DY96">
            <v>4248.1912751213677</v>
          </cell>
          <cell r="DZ96">
            <v>1208.7644276624724</v>
          </cell>
          <cell r="EA96">
            <v>0</v>
          </cell>
          <cell r="EB96">
            <v>5456.95570278384</v>
          </cell>
          <cell r="EE96">
            <v>0</v>
          </cell>
          <cell r="EH96">
            <v>0</v>
          </cell>
          <cell r="EI96">
            <v>0</v>
          </cell>
          <cell r="EK96">
            <v>0</v>
          </cell>
          <cell r="EL96">
            <v>0</v>
          </cell>
          <cell r="EM96">
            <v>0</v>
          </cell>
          <cell r="EO96">
            <v>0</v>
          </cell>
          <cell r="EP96">
            <v>0</v>
          </cell>
          <cell r="EQ96">
            <v>0</v>
          </cell>
          <cell r="ER96">
            <v>1296595.4001448315</v>
          </cell>
          <cell r="ET96">
            <v>350</v>
          </cell>
          <cell r="EU96">
            <v>3704.55828612809</v>
          </cell>
          <cell r="EV96" t="str">
            <v>No Variation Applied</v>
          </cell>
          <cell r="EW96">
            <v>63600</v>
          </cell>
          <cell r="EX96">
            <v>0</v>
          </cell>
          <cell r="EY96">
            <v>0</v>
          </cell>
          <cell r="EZ96">
            <v>159872.26785371202</v>
          </cell>
        </row>
        <row r="97">
          <cell r="C97" t="str">
            <v>St Werburgh's Church of England VA Primary School</v>
          </cell>
          <cell r="D97">
            <v>3532</v>
          </cell>
          <cell r="F97" t="str">
            <v/>
          </cell>
          <cell r="G97">
            <v>0</v>
          </cell>
          <cell r="H97">
            <v>0</v>
          </cell>
          <cell r="I97">
            <v>0</v>
          </cell>
          <cell r="J97">
            <v>0</v>
          </cell>
          <cell r="L97">
            <v>0</v>
          </cell>
          <cell r="M97">
            <v>0</v>
          </cell>
          <cell r="N97">
            <v>0</v>
          </cell>
          <cell r="S97">
            <v>0</v>
          </cell>
          <cell r="T97">
            <v>0</v>
          </cell>
          <cell r="U97">
            <v>45</v>
          </cell>
          <cell r="Y97">
            <v>45</v>
          </cell>
          <cell r="Z97">
            <v>44</v>
          </cell>
          <cell r="AA97">
            <v>48</v>
          </cell>
          <cell r="AB97">
            <v>38</v>
          </cell>
          <cell r="AC97">
            <v>45</v>
          </cell>
          <cell r="AD97">
            <v>40</v>
          </cell>
          <cell r="AK97">
            <v>788235.24135032785</v>
          </cell>
          <cell r="AL97">
            <v>305</v>
          </cell>
          <cell r="BS97">
            <v>0</v>
          </cell>
          <cell r="BT97">
            <v>0</v>
          </cell>
          <cell r="BU97">
            <v>0</v>
          </cell>
          <cell r="BV97">
            <v>0</v>
          </cell>
          <cell r="BW97">
            <v>0</v>
          </cell>
          <cell r="BX97">
            <v>0</v>
          </cell>
          <cell r="BY97">
            <v>0</v>
          </cell>
          <cell r="BZ97">
            <v>0</v>
          </cell>
          <cell r="CA97">
            <v>0</v>
          </cell>
          <cell r="CB97">
            <v>0</v>
          </cell>
          <cell r="CC97">
            <v>0</v>
          </cell>
          <cell r="CD97">
            <v>0</v>
          </cell>
          <cell r="CE97">
            <v>0</v>
          </cell>
          <cell r="CF97">
            <v>22680.611130037629</v>
          </cell>
          <cell r="CI97">
            <v>0</v>
          </cell>
          <cell r="CJ97">
            <v>0</v>
          </cell>
          <cell r="CK97">
            <v>6190.58</v>
          </cell>
          <cell r="CL97">
            <v>5525.0183601260242</v>
          </cell>
          <cell r="CM97">
            <v>34396.209490163652</v>
          </cell>
          <cell r="CQ97">
            <v>1523.4619188921858</v>
          </cell>
          <cell r="CR97">
            <v>0</v>
          </cell>
          <cell r="CS97">
            <v>1010.4263007562949</v>
          </cell>
          <cell r="CT97">
            <v>2533.888219648481</v>
          </cell>
          <cell r="CU97">
            <v>11762.685108164713</v>
          </cell>
          <cell r="CV97">
            <v>0</v>
          </cell>
          <cell r="CW97">
            <v>11762.685108164713</v>
          </cell>
          <cell r="CX97">
            <v>0</v>
          </cell>
          <cell r="CZ97">
            <v>0</v>
          </cell>
          <cell r="DC97">
            <v>0</v>
          </cell>
          <cell r="DD97">
            <v>26589.118903795446</v>
          </cell>
          <cell r="DE97">
            <v>12733.360151581403</v>
          </cell>
          <cell r="DF97">
            <v>1712.2348495052349</v>
          </cell>
          <cell r="DG97">
            <v>0</v>
          </cell>
          <cell r="DH97">
            <v>0</v>
          </cell>
          <cell r="DI97">
            <v>41034.713904882083</v>
          </cell>
          <cell r="DJ97">
            <v>0</v>
          </cell>
          <cell r="DK97">
            <v>3915.9</v>
          </cell>
          <cell r="DL97">
            <v>4160.9399999999996</v>
          </cell>
          <cell r="DM97">
            <v>70073.495851086889</v>
          </cell>
          <cell r="DN97">
            <v>0</v>
          </cell>
          <cell r="DO97">
            <v>0</v>
          </cell>
          <cell r="DP97">
            <v>0</v>
          </cell>
          <cell r="DQ97">
            <v>78150.335851086886</v>
          </cell>
          <cell r="DR97">
            <v>0</v>
          </cell>
          <cell r="DS97">
            <v>0</v>
          </cell>
          <cell r="DT97">
            <v>0</v>
          </cell>
          <cell r="DU97">
            <v>0</v>
          </cell>
          <cell r="DV97">
            <v>0</v>
          </cell>
          <cell r="DW97">
            <v>0</v>
          </cell>
          <cell r="DX97">
            <v>0</v>
          </cell>
          <cell r="DY97">
            <v>3267.8394424010521</v>
          </cell>
          <cell r="DZ97">
            <v>1053.3518583915829</v>
          </cell>
          <cell r="EA97">
            <v>0</v>
          </cell>
          <cell r="EB97">
            <v>4321.191300792635</v>
          </cell>
          <cell r="EE97">
            <v>0</v>
          </cell>
          <cell r="EH97">
            <v>0</v>
          </cell>
          <cell r="EI97">
            <v>5352.8414999999995</v>
          </cell>
          <cell r="EK97">
            <v>0</v>
          </cell>
          <cell r="EL97">
            <v>13640</v>
          </cell>
          <cell r="EM97">
            <v>0</v>
          </cell>
          <cell r="EO97">
            <v>18992.841499999999</v>
          </cell>
          <cell r="EP97">
            <v>15226.878276318195</v>
          </cell>
          <cell r="EQ97">
            <v>0</v>
          </cell>
          <cell r="ER97">
            <v>994653.9850013844</v>
          </cell>
          <cell r="ET97">
            <v>305</v>
          </cell>
          <cell r="EU97">
            <v>3261.1606065619162</v>
          </cell>
          <cell r="EV97" t="str">
            <v>No Variation Applied</v>
          </cell>
          <cell r="EW97">
            <v>18600</v>
          </cell>
          <cell r="EX97">
            <v>0</v>
          </cell>
          <cell r="EY97">
            <v>0</v>
          </cell>
          <cell r="EZ97">
            <v>57648.233180288495</v>
          </cell>
        </row>
        <row r="98">
          <cell r="C98" t="str">
            <v>St John Fisher Catholic Primary School, Alvaston, Derby</v>
          </cell>
          <cell r="D98">
            <v>3533</v>
          </cell>
          <cell r="F98" t="str">
            <v/>
          </cell>
          <cell r="G98">
            <v>0</v>
          </cell>
          <cell r="H98">
            <v>0</v>
          </cell>
          <cell r="I98">
            <v>0</v>
          </cell>
          <cell r="J98">
            <v>0</v>
          </cell>
          <cell r="L98">
            <v>0</v>
          </cell>
          <cell r="M98">
            <v>0</v>
          </cell>
          <cell r="N98">
            <v>0</v>
          </cell>
          <cell r="S98">
            <v>0</v>
          </cell>
          <cell r="T98">
            <v>0</v>
          </cell>
          <cell r="U98">
            <v>30</v>
          </cell>
          <cell r="Y98">
            <v>30</v>
          </cell>
          <cell r="Z98">
            <v>30</v>
          </cell>
          <cell r="AA98">
            <v>35</v>
          </cell>
          <cell r="AB98">
            <v>29</v>
          </cell>
          <cell r="AC98">
            <v>33</v>
          </cell>
          <cell r="AD98">
            <v>26</v>
          </cell>
          <cell r="AK98">
            <v>550247.44205783936</v>
          </cell>
          <cell r="AL98">
            <v>213</v>
          </cell>
          <cell r="BS98">
            <v>0</v>
          </cell>
          <cell r="BT98">
            <v>0</v>
          </cell>
          <cell r="BU98">
            <v>0</v>
          </cell>
          <cell r="BV98">
            <v>0</v>
          </cell>
          <cell r="BW98">
            <v>0</v>
          </cell>
          <cell r="BX98">
            <v>0</v>
          </cell>
          <cell r="BY98">
            <v>0</v>
          </cell>
          <cell r="BZ98">
            <v>0</v>
          </cell>
          <cell r="CA98">
            <v>0</v>
          </cell>
          <cell r="CB98">
            <v>0</v>
          </cell>
          <cell r="CC98">
            <v>0</v>
          </cell>
          <cell r="CD98">
            <v>0</v>
          </cell>
          <cell r="CE98">
            <v>0</v>
          </cell>
          <cell r="CF98">
            <v>11340.305565018814</v>
          </cell>
          <cell r="CI98">
            <v>0</v>
          </cell>
          <cell r="CJ98">
            <v>0</v>
          </cell>
          <cell r="CK98">
            <v>4323.26</v>
          </cell>
          <cell r="CL98">
            <v>2054.5681088490924</v>
          </cell>
          <cell r="CM98">
            <v>17718.133673867906</v>
          </cell>
          <cell r="CQ98">
            <v>9902.5024727992077</v>
          </cell>
          <cell r="CR98">
            <v>5024.29</v>
          </cell>
          <cell r="CS98">
            <v>12327.200869226797</v>
          </cell>
          <cell r="CT98">
            <v>27253.993342026006</v>
          </cell>
          <cell r="CU98">
            <v>10511.335628572724</v>
          </cell>
          <cell r="CV98">
            <v>0</v>
          </cell>
          <cell r="CW98">
            <v>10511.335628572724</v>
          </cell>
          <cell r="CX98">
            <v>0</v>
          </cell>
          <cell r="CZ98">
            <v>0</v>
          </cell>
          <cell r="DC98">
            <v>0</v>
          </cell>
          <cell r="DD98">
            <v>85282.792357542465</v>
          </cell>
          <cell r="DE98">
            <v>85950.18102317446</v>
          </cell>
          <cell r="DF98">
            <v>856.11742475261747</v>
          </cell>
          <cell r="DG98">
            <v>0</v>
          </cell>
          <cell r="DH98">
            <v>0</v>
          </cell>
          <cell r="DI98">
            <v>172089.09080546955</v>
          </cell>
          <cell r="DJ98">
            <v>0</v>
          </cell>
          <cell r="DK98">
            <v>2358.6999999999998</v>
          </cell>
          <cell r="DL98">
            <v>3567.1</v>
          </cell>
          <cell r="DM98">
            <v>70073.495851086889</v>
          </cell>
          <cell r="DN98">
            <v>0</v>
          </cell>
          <cell r="DO98">
            <v>0</v>
          </cell>
          <cell r="DP98">
            <v>0</v>
          </cell>
          <cell r="DQ98">
            <v>75999.295851086892</v>
          </cell>
          <cell r="DR98">
            <v>0</v>
          </cell>
          <cell r="DS98">
            <v>0</v>
          </cell>
          <cell r="DT98">
            <v>0</v>
          </cell>
          <cell r="DU98">
            <v>0</v>
          </cell>
          <cell r="DV98">
            <v>0</v>
          </cell>
          <cell r="DW98">
            <v>0</v>
          </cell>
          <cell r="DX98">
            <v>0</v>
          </cell>
          <cell r="DY98">
            <v>7189.2467732823143</v>
          </cell>
          <cell r="DZ98">
            <v>735.61949454887599</v>
          </cell>
          <cell r="EA98">
            <v>0</v>
          </cell>
          <cell r="EB98">
            <v>7924.8662678311903</v>
          </cell>
          <cell r="EE98">
            <v>0</v>
          </cell>
          <cell r="EH98">
            <v>0</v>
          </cell>
          <cell r="EI98">
            <v>0</v>
          </cell>
          <cell r="EK98">
            <v>0</v>
          </cell>
          <cell r="EL98">
            <v>0</v>
          </cell>
          <cell r="EM98">
            <v>0</v>
          </cell>
          <cell r="EO98">
            <v>0</v>
          </cell>
          <cell r="EP98">
            <v>4509.35810113966</v>
          </cell>
          <cell r="EQ98">
            <v>0</v>
          </cell>
          <cell r="ER98">
            <v>866253.51572783326</v>
          </cell>
          <cell r="ET98">
            <v>213</v>
          </cell>
          <cell r="EU98">
            <v>4066.9179142151797</v>
          </cell>
          <cell r="EV98" t="str">
            <v>No Variation Applied</v>
          </cell>
          <cell r="EW98">
            <v>43800</v>
          </cell>
          <cell r="EX98">
            <v>0</v>
          </cell>
          <cell r="EY98">
            <v>0</v>
          </cell>
          <cell r="EZ98">
            <v>127700.33777155215</v>
          </cell>
        </row>
        <row r="99">
          <cell r="C99" t="str">
            <v>St Peter's Church of England Aided Junior School</v>
          </cell>
          <cell r="D99">
            <v>3534</v>
          </cell>
          <cell r="F99" t="str">
            <v/>
          </cell>
          <cell r="G99">
            <v>0</v>
          </cell>
          <cell r="H99">
            <v>0</v>
          </cell>
          <cell r="I99">
            <v>0</v>
          </cell>
          <cell r="J99">
            <v>0</v>
          </cell>
          <cell r="L99">
            <v>0</v>
          </cell>
          <cell r="M99">
            <v>0</v>
          </cell>
          <cell r="N99">
            <v>0</v>
          </cell>
          <cell r="S99">
            <v>0</v>
          </cell>
          <cell r="T99">
            <v>0</v>
          </cell>
          <cell r="U99">
            <v>0</v>
          </cell>
          <cell r="Y99">
            <v>0</v>
          </cell>
          <cell r="Z99">
            <v>0</v>
          </cell>
          <cell r="AA99">
            <v>57</v>
          </cell>
          <cell r="AB99">
            <v>59</v>
          </cell>
          <cell r="AC99">
            <v>56</v>
          </cell>
          <cell r="AD99">
            <v>64</v>
          </cell>
          <cell r="AK99">
            <v>606355.53839869483</v>
          </cell>
          <cell r="AL99">
            <v>236</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I99">
            <v>0</v>
          </cell>
          <cell r="CJ99">
            <v>0</v>
          </cell>
          <cell r="CK99">
            <v>4790.09</v>
          </cell>
          <cell r="CL99">
            <v>3901.3709033201872</v>
          </cell>
          <cell r="CM99">
            <v>8691.4609033201868</v>
          </cell>
          <cell r="CQ99">
            <v>4570.3857566765573</v>
          </cell>
          <cell r="CR99">
            <v>10651.49</v>
          </cell>
          <cell r="CS99">
            <v>13135.541909831834</v>
          </cell>
          <cell r="CT99">
            <v>28357.417666508391</v>
          </cell>
          <cell r="CU99">
            <v>10511.335628572724</v>
          </cell>
          <cell r="CV99">
            <v>0</v>
          </cell>
          <cell r="CW99">
            <v>10511.335628572724</v>
          </cell>
          <cell r="CX99">
            <v>0</v>
          </cell>
          <cell r="CZ99">
            <v>0</v>
          </cell>
          <cell r="DC99">
            <v>0</v>
          </cell>
          <cell r="DD99">
            <v>23624.94092283988</v>
          </cell>
          <cell r="DE99">
            <v>21601.235971432736</v>
          </cell>
          <cell r="DF99">
            <v>5136.704548515705</v>
          </cell>
          <cell r="DG99">
            <v>0</v>
          </cell>
          <cell r="DH99">
            <v>0</v>
          </cell>
          <cell r="DI99">
            <v>50362.881442788326</v>
          </cell>
          <cell r="DJ99">
            <v>0</v>
          </cell>
          <cell r="DK99">
            <v>2541.9</v>
          </cell>
          <cell r="DL99">
            <v>3426.63</v>
          </cell>
          <cell r="DM99">
            <v>70073.495851086889</v>
          </cell>
          <cell r="DN99">
            <v>0</v>
          </cell>
          <cell r="DO99">
            <v>0</v>
          </cell>
          <cell r="DP99">
            <v>0</v>
          </cell>
          <cell r="DQ99">
            <v>76042.025851086888</v>
          </cell>
          <cell r="DR99">
            <v>0</v>
          </cell>
          <cell r="DS99">
            <v>0</v>
          </cell>
          <cell r="DT99">
            <v>0</v>
          </cell>
          <cell r="DU99">
            <v>0</v>
          </cell>
          <cell r="DV99">
            <v>0</v>
          </cell>
          <cell r="DW99">
            <v>0</v>
          </cell>
          <cell r="DX99">
            <v>0</v>
          </cell>
          <cell r="DY99">
            <v>3267.8394424010521</v>
          </cell>
          <cell r="DZ99">
            <v>815.05258550955273</v>
          </cell>
          <cell r="EA99">
            <v>0</v>
          </cell>
          <cell r="EB99">
            <v>4082.8920279106051</v>
          </cell>
          <cell r="EE99">
            <v>0</v>
          </cell>
          <cell r="EH99">
            <v>0</v>
          </cell>
          <cell r="EI99">
            <v>0</v>
          </cell>
          <cell r="EK99">
            <v>0</v>
          </cell>
          <cell r="EL99">
            <v>5005</v>
          </cell>
          <cell r="EM99">
            <v>0</v>
          </cell>
          <cell r="EO99">
            <v>5005</v>
          </cell>
          <cell r="EP99">
            <v>0</v>
          </cell>
          <cell r="EQ99">
            <v>0</v>
          </cell>
          <cell r="ER99">
            <v>789408.55191888195</v>
          </cell>
          <cell r="ET99">
            <v>236</v>
          </cell>
          <cell r="EU99">
            <v>3344.9514911817032</v>
          </cell>
          <cell r="EV99" t="str">
            <v>No Variation Applied</v>
          </cell>
          <cell r="EW99">
            <v>25350</v>
          </cell>
          <cell r="EX99">
            <v>0</v>
          </cell>
          <cell r="EY99">
            <v>0</v>
          </cell>
          <cell r="EZ99">
            <v>67661.459374340498</v>
          </cell>
        </row>
        <row r="100">
          <cell r="C100" t="str">
            <v>St James' Church of England Aided Junior School</v>
          </cell>
          <cell r="D100">
            <v>3535</v>
          </cell>
          <cell r="F100" t="str">
            <v/>
          </cell>
          <cell r="G100">
            <v>0</v>
          </cell>
          <cell r="H100">
            <v>0</v>
          </cell>
          <cell r="I100">
            <v>0</v>
          </cell>
          <cell r="J100">
            <v>0</v>
          </cell>
          <cell r="L100">
            <v>0</v>
          </cell>
          <cell r="M100">
            <v>0</v>
          </cell>
          <cell r="N100">
            <v>0</v>
          </cell>
          <cell r="S100">
            <v>0</v>
          </cell>
          <cell r="T100">
            <v>0</v>
          </cell>
          <cell r="U100">
            <v>0</v>
          </cell>
          <cell r="Y100">
            <v>0</v>
          </cell>
          <cell r="Z100">
            <v>0</v>
          </cell>
          <cell r="AA100">
            <v>75</v>
          </cell>
          <cell r="AB100">
            <v>65</v>
          </cell>
          <cell r="AC100">
            <v>51</v>
          </cell>
          <cell r="AD100">
            <v>72</v>
          </cell>
          <cell r="AK100">
            <v>675726.72287651151</v>
          </cell>
          <cell r="AL100">
            <v>263</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I100">
            <v>0</v>
          </cell>
          <cell r="CJ100">
            <v>4551.07</v>
          </cell>
          <cell r="CK100">
            <v>5338.11</v>
          </cell>
          <cell r="CL100">
            <v>4089.8986885891113</v>
          </cell>
          <cell r="CM100">
            <v>13979.078688589112</v>
          </cell>
          <cell r="CQ100">
            <v>25137.121661721067</v>
          </cell>
          <cell r="CR100">
            <v>44213.71</v>
          </cell>
          <cell r="CS100">
            <v>39406.625729495499</v>
          </cell>
          <cell r="CT100">
            <v>108757.45739121657</v>
          </cell>
          <cell r="CU100">
            <v>12138.08995204231</v>
          </cell>
          <cell r="CV100">
            <v>0</v>
          </cell>
          <cell r="CW100">
            <v>12138.08995204231</v>
          </cell>
          <cell r="CX100">
            <v>0</v>
          </cell>
          <cell r="CZ100">
            <v>0</v>
          </cell>
          <cell r="DC100">
            <v>0</v>
          </cell>
          <cell r="DD100">
            <v>107904.92679926305</v>
          </cell>
          <cell r="DE100">
            <v>173264.65063401836</v>
          </cell>
          <cell r="DF100">
            <v>8561.1742475261744</v>
          </cell>
          <cell r="DG100">
            <v>0</v>
          </cell>
          <cell r="DH100">
            <v>0</v>
          </cell>
          <cell r="DI100">
            <v>289730.75168080756</v>
          </cell>
          <cell r="DJ100">
            <v>5450.68</v>
          </cell>
          <cell r="DK100">
            <v>2267.1</v>
          </cell>
          <cell r="DL100">
            <v>6310.63</v>
          </cell>
          <cell r="DM100">
            <v>70073.495851086889</v>
          </cell>
          <cell r="DN100">
            <v>0</v>
          </cell>
          <cell r="DO100">
            <v>0</v>
          </cell>
          <cell r="DP100">
            <v>0</v>
          </cell>
          <cell r="DQ100">
            <v>84101.905851086893</v>
          </cell>
          <cell r="DR100">
            <v>0</v>
          </cell>
          <cell r="DS100">
            <v>0</v>
          </cell>
          <cell r="DT100">
            <v>0</v>
          </cell>
          <cell r="DU100">
            <v>0</v>
          </cell>
          <cell r="DV100">
            <v>0</v>
          </cell>
          <cell r="DW100">
            <v>0</v>
          </cell>
          <cell r="DX100">
            <v>0</v>
          </cell>
          <cell r="DY100">
            <v>9803.5183272031554</v>
          </cell>
          <cell r="DZ100">
            <v>908.3001270720863</v>
          </cell>
          <cell r="EA100">
            <v>0</v>
          </cell>
          <cell r="EB100">
            <v>10711.818454275242</v>
          </cell>
          <cell r="EE100">
            <v>0</v>
          </cell>
          <cell r="EH100">
            <v>0</v>
          </cell>
          <cell r="EI100">
            <v>0</v>
          </cell>
          <cell r="EK100">
            <v>0</v>
          </cell>
          <cell r="EL100">
            <v>501</v>
          </cell>
          <cell r="EM100">
            <v>0</v>
          </cell>
          <cell r="EO100">
            <v>501</v>
          </cell>
          <cell r="EP100">
            <v>7609.1426011084113</v>
          </cell>
          <cell r="EQ100">
            <v>0</v>
          </cell>
          <cell r="ER100">
            <v>1203255.9674956375</v>
          </cell>
          <cell r="ET100">
            <v>263</v>
          </cell>
          <cell r="EU100">
            <v>4575.1177471317014</v>
          </cell>
          <cell r="EV100" t="str">
            <v>No Variation Applied</v>
          </cell>
          <cell r="EW100">
            <v>61200</v>
          </cell>
          <cell r="EX100">
            <v>0</v>
          </cell>
          <cell r="EY100">
            <v>0</v>
          </cell>
          <cell r="EZ100">
            <v>218789.78966916676</v>
          </cell>
        </row>
        <row r="101">
          <cell r="C101" t="str">
            <v>St Joseph's Catholic Primary School, Derby</v>
          </cell>
          <cell r="D101">
            <v>3542</v>
          </cell>
          <cell r="F101" t="str">
            <v/>
          </cell>
          <cell r="G101">
            <v>0</v>
          </cell>
          <cell r="H101">
            <v>0</v>
          </cell>
          <cell r="I101">
            <v>0</v>
          </cell>
          <cell r="J101">
            <v>0</v>
          </cell>
          <cell r="L101">
            <v>0</v>
          </cell>
          <cell r="M101">
            <v>0</v>
          </cell>
          <cell r="N101">
            <v>0</v>
          </cell>
          <cell r="S101">
            <v>0</v>
          </cell>
          <cell r="T101">
            <v>0</v>
          </cell>
          <cell r="U101">
            <v>51</v>
          </cell>
          <cell r="Y101">
            <v>50</v>
          </cell>
          <cell r="Z101">
            <v>50</v>
          </cell>
          <cell r="AA101">
            <v>51</v>
          </cell>
          <cell r="AB101">
            <v>51</v>
          </cell>
          <cell r="AC101">
            <v>47</v>
          </cell>
          <cell r="AD101">
            <v>49</v>
          </cell>
          <cell r="AK101">
            <v>902000.72777351213</v>
          </cell>
          <cell r="AL101">
            <v>349</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22680.611130037629</v>
          </cell>
          <cell r="CI101">
            <v>0</v>
          </cell>
          <cell r="CJ101">
            <v>6039.25</v>
          </cell>
          <cell r="CK101">
            <v>7083.65</v>
          </cell>
          <cell r="CL101">
            <v>3908.1040385083629</v>
          </cell>
          <cell r="CM101">
            <v>39711.615168545992</v>
          </cell>
          <cell r="CQ101">
            <v>6093.8476755687434</v>
          </cell>
          <cell r="CR101">
            <v>24719.48</v>
          </cell>
          <cell r="CS101">
            <v>11720.94508877302</v>
          </cell>
          <cell r="CT101">
            <v>42534.27276434176</v>
          </cell>
          <cell r="CU101">
            <v>0</v>
          </cell>
          <cell r="CV101">
            <v>0</v>
          </cell>
          <cell r="CW101">
            <v>0</v>
          </cell>
          <cell r="CX101">
            <v>0</v>
          </cell>
          <cell r="CZ101">
            <v>0</v>
          </cell>
          <cell r="DC101">
            <v>0</v>
          </cell>
          <cell r="DD101">
            <v>60006.170171682563</v>
          </cell>
          <cell r="DE101">
            <v>128925.27153476169</v>
          </cell>
          <cell r="DF101">
            <v>5992.8219732683219</v>
          </cell>
          <cell r="DG101">
            <v>0</v>
          </cell>
          <cell r="DH101">
            <v>0</v>
          </cell>
          <cell r="DI101">
            <v>194924.26367971257</v>
          </cell>
          <cell r="DJ101">
            <v>6950.4</v>
          </cell>
          <cell r="DK101">
            <v>4213.6000000000004</v>
          </cell>
          <cell r="DL101">
            <v>2580.71</v>
          </cell>
          <cell r="DM101">
            <v>70073.495851086889</v>
          </cell>
          <cell r="DN101">
            <v>0</v>
          </cell>
          <cell r="DO101">
            <v>0</v>
          </cell>
          <cell r="DP101">
            <v>0</v>
          </cell>
          <cell r="DQ101">
            <v>83818.205851086881</v>
          </cell>
          <cell r="DR101">
            <v>0</v>
          </cell>
          <cell r="DS101">
            <v>0</v>
          </cell>
          <cell r="DT101">
            <v>0</v>
          </cell>
          <cell r="DU101">
            <v>0</v>
          </cell>
          <cell r="DV101">
            <v>0</v>
          </cell>
          <cell r="DW101">
            <v>0</v>
          </cell>
          <cell r="DX101">
            <v>0</v>
          </cell>
          <cell r="DY101">
            <v>3594.6233866411571</v>
          </cell>
          <cell r="DZ101">
            <v>1205.3108150120081</v>
          </cell>
          <cell r="EA101">
            <v>0</v>
          </cell>
          <cell r="EB101">
            <v>4799.9342016531655</v>
          </cell>
          <cell r="EE101">
            <v>0</v>
          </cell>
          <cell r="EH101">
            <v>0</v>
          </cell>
          <cell r="EI101">
            <v>0</v>
          </cell>
          <cell r="EK101">
            <v>0</v>
          </cell>
          <cell r="EL101">
            <v>0</v>
          </cell>
          <cell r="EM101">
            <v>0</v>
          </cell>
          <cell r="EO101">
            <v>0</v>
          </cell>
          <cell r="EP101">
            <v>0</v>
          </cell>
          <cell r="EQ101">
            <v>0</v>
          </cell>
          <cell r="ER101">
            <v>1267789.0194388526</v>
          </cell>
          <cell r="ET101">
            <v>349</v>
          </cell>
          <cell r="EU101">
            <v>3632.6332935210676</v>
          </cell>
          <cell r="EV101" t="str">
            <v>No Variation Applied</v>
          </cell>
          <cell r="EW101">
            <v>36850</v>
          </cell>
          <cell r="EX101">
            <v>0</v>
          </cell>
          <cell r="EY101">
            <v>0</v>
          </cell>
          <cell r="EZ101">
            <v>115045.36826348184</v>
          </cell>
        </row>
        <row r="102">
          <cell r="C102" t="str">
            <v>St Alban's Catholic Primary School, Chaddesden, Derby</v>
          </cell>
          <cell r="D102">
            <v>3543</v>
          </cell>
          <cell r="F102" t="str">
            <v/>
          </cell>
          <cell r="G102">
            <v>0</v>
          </cell>
          <cell r="H102">
            <v>25110</v>
          </cell>
          <cell r="I102">
            <v>0</v>
          </cell>
          <cell r="J102">
            <v>0</v>
          </cell>
          <cell r="L102">
            <v>87795.388472714127</v>
          </cell>
          <cell r="M102">
            <v>25110</v>
          </cell>
          <cell r="N102">
            <v>26.431578947368422</v>
          </cell>
          <cell r="S102">
            <v>0</v>
          </cell>
          <cell r="T102">
            <v>0</v>
          </cell>
          <cell r="U102">
            <v>45</v>
          </cell>
          <cell r="Y102">
            <v>46</v>
          </cell>
          <cell r="Z102">
            <v>41</v>
          </cell>
          <cell r="AA102">
            <v>35</v>
          </cell>
          <cell r="AB102">
            <v>37</v>
          </cell>
          <cell r="AC102">
            <v>39</v>
          </cell>
          <cell r="AD102">
            <v>34</v>
          </cell>
          <cell r="AK102">
            <v>716532.70100627351</v>
          </cell>
          <cell r="AL102">
            <v>277</v>
          </cell>
          <cell r="BS102">
            <v>3655.6380000000004</v>
          </cell>
          <cell r="BT102">
            <v>0</v>
          </cell>
          <cell r="BU102">
            <v>116.05200000000001</v>
          </cell>
          <cell r="BV102">
            <v>0</v>
          </cell>
          <cell r="BW102">
            <v>0</v>
          </cell>
          <cell r="BX102">
            <v>1066.6128000000026</v>
          </cell>
          <cell r="BY102">
            <v>0</v>
          </cell>
          <cell r="BZ102">
            <v>1003.8498</v>
          </cell>
          <cell r="CA102">
            <v>0</v>
          </cell>
          <cell r="CB102">
            <v>0</v>
          </cell>
          <cell r="CC102">
            <v>0</v>
          </cell>
          <cell r="CD102">
            <v>0</v>
          </cell>
          <cell r="CE102">
            <v>5842.1526000000031</v>
          </cell>
          <cell r="CF102">
            <v>22680.611130037629</v>
          </cell>
          <cell r="CI102">
            <v>0</v>
          </cell>
          <cell r="CJ102">
            <v>0</v>
          </cell>
          <cell r="CK102">
            <v>5622.27</v>
          </cell>
          <cell r="CL102">
            <v>4805.5347714466607</v>
          </cell>
          <cell r="CM102">
            <v>33108.415901484288</v>
          </cell>
          <cell r="CQ102">
            <v>1523.4619188921858</v>
          </cell>
          <cell r="CR102">
            <v>5024.29</v>
          </cell>
          <cell r="CS102">
            <v>4647.9609834789562</v>
          </cell>
          <cell r="CT102">
            <v>11195.712902371142</v>
          </cell>
          <cell r="CU102">
            <v>10511.335628572724</v>
          </cell>
          <cell r="CV102">
            <v>0</v>
          </cell>
          <cell r="CW102">
            <v>10511.335628572724</v>
          </cell>
          <cell r="CX102">
            <v>0</v>
          </cell>
          <cell r="CZ102">
            <v>0</v>
          </cell>
          <cell r="DC102">
            <v>0</v>
          </cell>
          <cell r="DD102">
            <v>44890.337184222597</v>
          </cell>
          <cell r="DE102">
            <v>48887.007724821451</v>
          </cell>
          <cell r="DF102">
            <v>5136.704548515705</v>
          </cell>
          <cell r="DG102">
            <v>0</v>
          </cell>
          <cell r="DH102">
            <v>0</v>
          </cell>
          <cell r="DI102">
            <v>98914.04945755974</v>
          </cell>
          <cell r="DJ102">
            <v>0</v>
          </cell>
          <cell r="DK102">
            <v>2885.4</v>
          </cell>
          <cell r="DL102">
            <v>5797.41</v>
          </cell>
          <cell r="DM102">
            <v>70073.495851086889</v>
          </cell>
          <cell r="DN102">
            <v>0</v>
          </cell>
          <cell r="DO102">
            <v>0</v>
          </cell>
          <cell r="DP102">
            <v>0</v>
          </cell>
          <cell r="DQ102">
            <v>78756.305851086887</v>
          </cell>
          <cell r="DR102">
            <v>0</v>
          </cell>
          <cell r="DS102">
            <v>0</v>
          </cell>
          <cell r="DT102">
            <v>0</v>
          </cell>
          <cell r="DU102">
            <v>0</v>
          </cell>
          <cell r="DV102">
            <v>0</v>
          </cell>
          <cell r="DW102">
            <v>0</v>
          </cell>
          <cell r="DX102">
            <v>0</v>
          </cell>
          <cell r="DY102">
            <v>2941.0554981609466</v>
          </cell>
          <cell r="DZ102">
            <v>956.65070417858522</v>
          </cell>
          <cell r="EA102">
            <v>0</v>
          </cell>
          <cell r="EB102">
            <v>3897.706202339532</v>
          </cell>
          <cell r="EE102">
            <v>0</v>
          </cell>
          <cell r="EH102">
            <v>0</v>
          </cell>
          <cell r="EI102">
            <v>0</v>
          </cell>
          <cell r="EK102">
            <v>0</v>
          </cell>
          <cell r="EL102">
            <v>0</v>
          </cell>
          <cell r="EM102">
            <v>0</v>
          </cell>
          <cell r="EO102">
            <v>0</v>
          </cell>
          <cell r="EP102">
            <v>12596.6774811754</v>
          </cell>
          <cell r="EQ102">
            <v>93637.541072714128</v>
          </cell>
          <cell r="ER102">
            <v>1059150.4455035774</v>
          </cell>
          <cell r="ET102">
            <v>303.43157894736839</v>
          </cell>
          <cell r="EU102">
            <v>3490.5742150433589</v>
          </cell>
          <cell r="EV102" t="str">
            <v>No Variation Applied</v>
          </cell>
          <cell r="EW102">
            <v>33000</v>
          </cell>
          <cell r="EX102">
            <v>0</v>
          </cell>
          <cell r="EY102">
            <v>0</v>
          </cell>
          <cell r="EZ102">
            <v>82765.550018481459</v>
          </cell>
        </row>
        <row r="103">
          <cell r="C103" t="str">
            <v>Hardwick Primary School</v>
          </cell>
          <cell r="D103">
            <v>3544</v>
          </cell>
          <cell r="F103" t="str">
            <v/>
          </cell>
          <cell r="G103">
            <v>0</v>
          </cell>
          <cell r="H103">
            <v>31920</v>
          </cell>
          <cell r="I103">
            <v>0</v>
          </cell>
          <cell r="J103">
            <v>0</v>
          </cell>
          <cell r="L103">
            <v>111606.08522696276</v>
          </cell>
          <cell r="M103">
            <v>31920</v>
          </cell>
          <cell r="N103">
            <v>33.6</v>
          </cell>
          <cell r="S103">
            <v>0</v>
          </cell>
          <cell r="T103">
            <v>0</v>
          </cell>
          <cell r="U103">
            <v>60</v>
          </cell>
          <cell r="Y103">
            <v>60</v>
          </cell>
          <cell r="Z103">
            <v>60</v>
          </cell>
          <cell r="AA103">
            <v>87</v>
          </cell>
          <cell r="AB103">
            <v>90</v>
          </cell>
          <cell r="AC103">
            <v>89</v>
          </cell>
          <cell r="AD103">
            <v>86</v>
          </cell>
          <cell r="AK103">
            <v>1372841.0157693299</v>
          </cell>
          <cell r="AL103">
            <v>532</v>
          </cell>
          <cell r="BS103">
            <v>20657.255999999998</v>
          </cell>
          <cell r="BT103">
            <v>0</v>
          </cell>
          <cell r="BU103">
            <v>5570.4960000000001</v>
          </cell>
          <cell r="BV103">
            <v>0</v>
          </cell>
          <cell r="BW103">
            <v>0</v>
          </cell>
          <cell r="BX103">
            <v>-15115.216699908138</v>
          </cell>
          <cell r="BY103">
            <v>0</v>
          </cell>
          <cell r="BZ103">
            <v>1003.8498</v>
          </cell>
          <cell r="CA103">
            <v>0</v>
          </cell>
          <cell r="CB103">
            <v>0</v>
          </cell>
          <cell r="CC103">
            <v>0</v>
          </cell>
          <cell r="CD103">
            <v>0</v>
          </cell>
          <cell r="CE103">
            <v>12116.385100091858</v>
          </cell>
          <cell r="CF103">
            <v>22680.611130037629</v>
          </cell>
          <cell r="CI103">
            <v>0</v>
          </cell>
          <cell r="CJ103">
            <v>0</v>
          </cell>
          <cell r="CK103">
            <v>10798</v>
          </cell>
          <cell r="CL103">
            <v>5553.874653789635</v>
          </cell>
          <cell r="CM103">
            <v>39032.485783827266</v>
          </cell>
          <cell r="CQ103">
            <v>37324.817012858555</v>
          </cell>
          <cell r="CR103">
            <v>96667.25</v>
          </cell>
          <cell r="CS103">
            <v>89119.599726705215</v>
          </cell>
          <cell r="CT103">
            <v>223111.66673956375</v>
          </cell>
          <cell r="CU103">
            <v>11011.875420409518</v>
          </cell>
          <cell r="CV103">
            <v>0</v>
          </cell>
          <cell r="CW103">
            <v>11011.875420409518</v>
          </cell>
          <cell r="CX103">
            <v>0</v>
          </cell>
          <cell r="CZ103">
            <v>0</v>
          </cell>
          <cell r="DC103">
            <v>0</v>
          </cell>
          <cell r="DD103">
            <v>199514.24828033752</v>
          </cell>
          <cell r="DE103">
            <v>349940.02273721033</v>
          </cell>
          <cell r="DF103">
            <v>10273.40909703141</v>
          </cell>
          <cell r="DG103">
            <v>0</v>
          </cell>
          <cell r="DH103">
            <v>0</v>
          </cell>
          <cell r="DI103">
            <v>559727.68011457927</v>
          </cell>
          <cell r="DJ103">
            <v>0</v>
          </cell>
          <cell r="DK103">
            <v>67784</v>
          </cell>
          <cell r="DL103">
            <v>4029.51</v>
          </cell>
          <cell r="DM103">
            <v>70073.495851086889</v>
          </cell>
          <cell r="DN103">
            <v>0</v>
          </cell>
          <cell r="DO103">
            <v>0</v>
          </cell>
          <cell r="DP103">
            <v>0</v>
          </cell>
          <cell r="DQ103">
            <v>141887.00585108687</v>
          </cell>
          <cell r="DR103">
            <v>119337.89101997581</v>
          </cell>
          <cell r="DS103">
            <v>0</v>
          </cell>
          <cell r="DT103">
            <v>20229.898887368596</v>
          </cell>
          <cell r="DU103">
            <v>0</v>
          </cell>
          <cell r="DV103">
            <v>0</v>
          </cell>
          <cell r="DW103">
            <v>0</v>
          </cell>
          <cell r="DX103">
            <v>139567.78990734441</v>
          </cell>
          <cell r="DY103">
            <v>14705.277490804734</v>
          </cell>
          <cell r="DZ103">
            <v>0</v>
          </cell>
          <cell r="EA103">
            <v>0</v>
          </cell>
          <cell r="EB103">
            <v>14705.277490804734</v>
          </cell>
          <cell r="EE103">
            <v>0</v>
          </cell>
          <cell r="EH103">
            <v>0</v>
          </cell>
          <cell r="EI103">
            <v>0</v>
          </cell>
          <cell r="EK103">
            <v>0</v>
          </cell>
          <cell r="EL103">
            <v>10137</v>
          </cell>
          <cell r="EM103">
            <v>0</v>
          </cell>
          <cell r="EO103">
            <v>10137</v>
          </cell>
          <cell r="EP103">
            <v>0</v>
          </cell>
          <cell r="EQ103">
            <v>123722.47032705462</v>
          </cell>
          <cell r="ER103">
            <v>2635744.2674040003</v>
          </cell>
          <cell r="ET103">
            <v>565.6</v>
          </cell>
          <cell r="EU103">
            <v>4660.0853384087695</v>
          </cell>
          <cell r="EV103" t="str">
            <v>No Variation Applied</v>
          </cell>
          <cell r="EW103">
            <v>115200</v>
          </cell>
          <cell r="EX103">
            <v>0</v>
          </cell>
          <cell r="EY103">
            <v>0</v>
          </cell>
          <cell r="EZ103">
            <v>398385.3839322807</v>
          </cell>
        </row>
        <row r="104">
          <cell r="C104" t="str">
            <v>Village Primary School</v>
          </cell>
          <cell r="D104">
            <v>3546</v>
          </cell>
          <cell r="F104" t="str">
            <v/>
          </cell>
          <cell r="G104">
            <v>0</v>
          </cell>
          <cell r="H104">
            <v>44460</v>
          </cell>
          <cell r="I104">
            <v>0</v>
          </cell>
          <cell r="J104">
            <v>0</v>
          </cell>
          <cell r="L104">
            <v>155451.33299469814</v>
          </cell>
          <cell r="M104">
            <v>44460</v>
          </cell>
          <cell r="N104">
            <v>46.8</v>
          </cell>
          <cell r="S104">
            <v>0</v>
          </cell>
          <cell r="T104">
            <v>0</v>
          </cell>
          <cell r="U104">
            <v>75</v>
          </cell>
          <cell r="Y104">
            <v>75</v>
          </cell>
          <cell r="Z104">
            <v>75</v>
          </cell>
          <cell r="AA104">
            <v>69</v>
          </cell>
          <cell r="AB104">
            <v>75</v>
          </cell>
          <cell r="AC104">
            <v>58</v>
          </cell>
          <cell r="AD104">
            <v>73</v>
          </cell>
          <cell r="AK104">
            <v>1292116.2534583374</v>
          </cell>
          <cell r="AL104">
            <v>500</v>
          </cell>
          <cell r="BS104">
            <v>22165.931999999997</v>
          </cell>
          <cell r="BT104">
            <v>0</v>
          </cell>
          <cell r="BU104">
            <v>3017.3519999999999</v>
          </cell>
          <cell r="BV104">
            <v>0</v>
          </cell>
          <cell r="BW104">
            <v>0</v>
          </cell>
          <cell r="BX104">
            <v>-13637.573399999994</v>
          </cell>
          <cell r="BY104">
            <v>0</v>
          </cell>
          <cell r="BZ104">
            <v>3011.5493999999999</v>
          </cell>
          <cell r="CA104">
            <v>0</v>
          </cell>
          <cell r="CB104">
            <v>0</v>
          </cell>
          <cell r="CC104">
            <v>0</v>
          </cell>
          <cell r="CD104">
            <v>0</v>
          </cell>
          <cell r="CE104">
            <v>14557.260000000002</v>
          </cell>
          <cell r="CF104">
            <v>34020.916695056439</v>
          </cell>
          <cell r="CI104">
            <v>0</v>
          </cell>
          <cell r="CJ104">
            <v>0</v>
          </cell>
          <cell r="CK104">
            <v>10148.5</v>
          </cell>
          <cell r="CL104">
            <v>4882.4848878829562</v>
          </cell>
          <cell r="CM104">
            <v>49051.901582939397</v>
          </cell>
          <cell r="CQ104">
            <v>5332.1167161226504</v>
          </cell>
          <cell r="CR104">
            <v>37179.71</v>
          </cell>
          <cell r="CS104">
            <v>37385.77312798291</v>
          </cell>
          <cell r="CT104">
            <v>79897.599844105556</v>
          </cell>
          <cell r="CU104">
            <v>34662.380584698149</v>
          </cell>
          <cell r="CV104">
            <v>0</v>
          </cell>
          <cell r="CW104">
            <v>34662.380584698149</v>
          </cell>
          <cell r="CX104">
            <v>0</v>
          </cell>
          <cell r="CZ104">
            <v>0</v>
          </cell>
          <cell r="DC104">
            <v>0</v>
          </cell>
          <cell r="DD104">
            <v>293247.15995672345</v>
          </cell>
          <cell r="DE104">
            <v>287182.74770441628</v>
          </cell>
          <cell r="DF104">
            <v>9417.2916722787922</v>
          </cell>
          <cell r="DG104">
            <v>0</v>
          </cell>
          <cell r="DH104">
            <v>0</v>
          </cell>
          <cell r="DI104">
            <v>589847.19933341851</v>
          </cell>
          <cell r="DJ104">
            <v>0</v>
          </cell>
          <cell r="DK104">
            <v>76028</v>
          </cell>
          <cell r="DL104">
            <v>4320.46</v>
          </cell>
          <cell r="DM104">
            <v>70073.495851086889</v>
          </cell>
          <cell r="DN104">
            <v>0</v>
          </cell>
          <cell r="DO104">
            <v>0</v>
          </cell>
          <cell r="DP104">
            <v>0</v>
          </cell>
          <cell r="DQ104">
            <v>150421.95585108688</v>
          </cell>
          <cell r="DR104">
            <v>0</v>
          </cell>
          <cell r="DS104">
            <v>0</v>
          </cell>
          <cell r="DT104">
            <v>0</v>
          </cell>
          <cell r="DU104">
            <v>0</v>
          </cell>
          <cell r="DV104">
            <v>0</v>
          </cell>
          <cell r="DW104">
            <v>0</v>
          </cell>
          <cell r="DX104">
            <v>0</v>
          </cell>
          <cell r="DY104">
            <v>7189.2467732823143</v>
          </cell>
          <cell r="DZ104">
            <v>0</v>
          </cell>
          <cell r="EA104">
            <v>0</v>
          </cell>
          <cell r="EB104">
            <v>7189.2467732823143</v>
          </cell>
          <cell r="EE104">
            <v>0</v>
          </cell>
          <cell r="EH104">
            <v>0</v>
          </cell>
          <cell r="EI104">
            <v>0</v>
          </cell>
          <cell r="EK104">
            <v>0</v>
          </cell>
          <cell r="EL104">
            <v>4129</v>
          </cell>
          <cell r="EM104">
            <v>0</v>
          </cell>
          <cell r="EO104">
            <v>4129</v>
          </cell>
          <cell r="EP104">
            <v>87191.508033495862</v>
          </cell>
          <cell r="EQ104">
            <v>170008.59299469815</v>
          </cell>
          <cell r="ER104">
            <v>2464515.6384560624</v>
          </cell>
          <cell r="ET104">
            <v>546.79999999999995</v>
          </cell>
          <cell r="EU104">
            <v>4507.1610066862886</v>
          </cell>
          <cell r="EV104" t="str">
            <v>No Variation Applied</v>
          </cell>
          <cell r="EW104">
            <v>145950</v>
          </cell>
          <cell r="EX104">
            <v>0</v>
          </cell>
          <cell r="EY104">
            <v>0</v>
          </cell>
          <cell r="EZ104">
            <v>414028.76277118706</v>
          </cell>
        </row>
        <row r="105">
          <cell r="C105" t="str">
            <v>Borrow Wood Primary School</v>
          </cell>
          <cell r="D105">
            <v>5201</v>
          </cell>
          <cell r="F105" t="str">
            <v/>
          </cell>
          <cell r="G105">
            <v>0</v>
          </cell>
          <cell r="H105">
            <v>29460</v>
          </cell>
          <cell r="I105">
            <v>0</v>
          </cell>
          <cell r="J105">
            <v>0</v>
          </cell>
          <cell r="L105">
            <v>103004.86437300511</v>
          </cell>
          <cell r="M105">
            <v>29460</v>
          </cell>
          <cell r="N105">
            <v>31.010526315789473</v>
          </cell>
          <cell r="S105">
            <v>0</v>
          </cell>
          <cell r="T105">
            <v>0</v>
          </cell>
          <cell r="U105">
            <v>60</v>
          </cell>
          <cell r="Y105">
            <v>59</v>
          </cell>
          <cell r="Z105">
            <v>53</v>
          </cell>
          <cell r="AA105">
            <v>53</v>
          </cell>
          <cell r="AB105">
            <v>38</v>
          </cell>
          <cell r="AC105">
            <v>54</v>
          </cell>
          <cell r="AD105">
            <v>45</v>
          </cell>
          <cell r="AK105">
            <v>937011.27292224672</v>
          </cell>
          <cell r="AL105">
            <v>362</v>
          </cell>
          <cell r="BS105">
            <v>2088.9360000000001</v>
          </cell>
          <cell r="BT105">
            <v>0</v>
          </cell>
          <cell r="BU105">
            <v>0</v>
          </cell>
          <cell r="BV105">
            <v>0</v>
          </cell>
          <cell r="BW105">
            <v>0</v>
          </cell>
          <cell r="BX105">
            <v>3346.0338121711393</v>
          </cell>
          <cell r="BY105">
            <v>0</v>
          </cell>
          <cell r="BZ105">
            <v>1003.8498</v>
          </cell>
          <cell r="CA105">
            <v>0</v>
          </cell>
          <cell r="CB105">
            <v>0</v>
          </cell>
          <cell r="CC105">
            <v>0</v>
          </cell>
          <cell r="CD105">
            <v>0</v>
          </cell>
          <cell r="CE105">
            <v>6438.8196121711389</v>
          </cell>
          <cell r="CF105">
            <v>22680.611130037629</v>
          </cell>
          <cell r="CI105">
            <v>0</v>
          </cell>
          <cell r="CJ105">
            <v>0</v>
          </cell>
          <cell r="CK105">
            <v>7347.51</v>
          </cell>
          <cell r="CL105">
            <v>6290.6720186671655</v>
          </cell>
          <cell r="CM105">
            <v>36318.793148704797</v>
          </cell>
          <cell r="CQ105">
            <v>1523.4619188921858</v>
          </cell>
          <cell r="CR105">
            <v>0</v>
          </cell>
          <cell r="CS105">
            <v>606.25578045377688</v>
          </cell>
          <cell r="CT105">
            <v>2129.7176993459625</v>
          </cell>
          <cell r="CU105">
            <v>15516.733546940686</v>
          </cell>
          <cell r="CV105">
            <v>0</v>
          </cell>
          <cell r="CW105">
            <v>15516.733546940686</v>
          </cell>
          <cell r="CX105">
            <v>0</v>
          </cell>
          <cell r="CZ105">
            <v>0</v>
          </cell>
          <cell r="DC105">
            <v>0</v>
          </cell>
          <cell r="DD105">
            <v>47515.330620093686</v>
          </cell>
          <cell r="DE105">
            <v>24329.813146771608</v>
          </cell>
          <cell r="DF105">
            <v>5992.8219732683219</v>
          </cell>
          <cell r="DG105">
            <v>0</v>
          </cell>
          <cell r="DH105">
            <v>0</v>
          </cell>
          <cell r="DI105">
            <v>77837.965740133615</v>
          </cell>
          <cell r="DJ105">
            <v>0</v>
          </cell>
          <cell r="DK105">
            <v>10396.6</v>
          </cell>
          <cell r="DL105">
            <v>6794.99</v>
          </cell>
          <cell r="DM105">
            <v>70073.495851086889</v>
          </cell>
          <cell r="DN105">
            <v>0</v>
          </cell>
          <cell r="DO105">
            <v>0</v>
          </cell>
          <cell r="DP105">
            <v>0</v>
          </cell>
          <cell r="DQ105">
            <v>87265.085851086886</v>
          </cell>
          <cell r="DR105">
            <v>0</v>
          </cell>
          <cell r="DS105">
            <v>0</v>
          </cell>
          <cell r="DT105">
            <v>0</v>
          </cell>
          <cell r="DU105">
            <v>0</v>
          </cell>
          <cell r="DV105">
            <v>0</v>
          </cell>
          <cell r="DW105">
            <v>0</v>
          </cell>
          <cell r="DX105">
            <v>0</v>
          </cell>
          <cell r="DY105">
            <v>6535.6788848021042</v>
          </cell>
          <cell r="DZ105">
            <v>1250.2077794680429</v>
          </cell>
          <cell r="EA105">
            <v>0</v>
          </cell>
          <cell r="EB105">
            <v>7785.8866642701469</v>
          </cell>
          <cell r="EE105">
            <v>0</v>
          </cell>
          <cell r="EH105">
            <v>0</v>
          </cell>
          <cell r="EI105">
            <v>9986.6869999999999</v>
          </cell>
          <cell r="EK105">
            <v>0</v>
          </cell>
          <cell r="EL105">
            <v>4254</v>
          </cell>
          <cell r="EM105">
            <v>0</v>
          </cell>
          <cell r="EO105">
            <v>14240.687</v>
          </cell>
          <cell r="EP105">
            <v>22237.158821712481</v>
          </cell>
          <cell r="EQ105">
            <v>109443.68398517625</v>
          </cell>
          <cell r="ER105">
            <v>1309786.9853796172</v>
          </cell>
          <cell r="ET105">
            <v>393.01052631578949</v>
          </cell>
          <cell r="EU105">
            <v>3332.7020465787346</v>
          </cell>
          <cell r="EV105" t="str">
            <v>No Variation Applied</v>
          </cell>
          <cell r="EW105">
            <v>32400</v>
          </cell>
          <cell r="EX105">
            <v>0</v>
          </cell>
          <cell r="EY105">
            <v>0</v>
          </cell>
          <cell r="EZ105">
            <v>93271.572647688154</v>
          </cell>
        </row>
        <row r="106">
          <cell r="C106" t="str">
            <v>Chellaston Junior School</v>
          </cell>
          <cell r="D106">
            <v>5203</v>
          </cell>
          <cell r="F106" t="str">
            <v/>
          </cell>
          <cell r="G106">
            <v>0</v>
          </cell>
          <cell r="H106">
            <v>0</v>
          </cell>
          <cell r="I106">
            <v>0</v>
          </cell>
          <cell r="J106">
            <v>0</v>
          </cell>
          <cell r="L106">
            <v>0</v>
          </cell>
          <cell r="M106">
            <v>0</v>
          </cell>
          <cell r="N106">
            <v>0</v>
          </cell>
          <cell r="S106">
            <v>0</v>
          </cell>
          <cell r="T106">
            <v>0</v>
          </cell>
          <cell r="U106">
            <v>0</v>
          </cell>
          <cell r="Y106">
            <v>0</v>
          </cell>
          <cell r="Z106">
            <v>0</v>
          </cell>
          <cell r="AA106">
            <v>120</v>
          </cell>
          <cell r="AB106">
            <v>120</v>
          </cell>
          <cell r="AC106">
            <v>121</v>
          </cell>
          <cell r="AD106">
            <v>120</v>
          </cell>
          <cell r="AK106">
            <v>1235834.8049566618</v>
          </cell>
          <cell r="AL106">
            <v>481</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I106">
            <v>0</v>
          </cell>
          <cell r="CJ106">
            <v>8323.43</v>
          </cell>
          <cell r="CK106">
            <v>9762.86</v>
          </cell>
          <cell r="CL106">
            <v>10680.676161357831</v>
          </cell>
          <cell r="CM106">
            <v>28766.966161357832</v>
          </cell>
          <cell r="CQ106">
            <v>2285.1928783382787</v>
          </cell>
          <cell r="CR106">
            <v>4622.34</v>
          </cell>
          <cell r="CS106">
            <v>8487.5809263528772</v>
          </cell>
          <cell r="CT106">
            <v>15395.113804691156</v>
          </cell>
          <cell r="CU106">
            <v>21773.480944900642</v>
          </cell>
          <cell r="CV106">
            <v>0</v>
          </cell>
          <cell r="CW106">
            <v>21773.480944900642</v>
          </cell>
          <cell r="CX106">
            <v>0</v>
          </cell>
          <cell r="CZ106">
            <v>0</v>
          </cell>
          <cell r="DC106">
            <v>0</v>
          </cell>
          <cell r="DD106">
            <v>71494.203242152144</v>
          </cell>
          <cell r="DE106">
            <v>39109.606179857161</v>
          </cell>
          <cell r="DF106">
            <v>6848.9393980209397</v>
          </cell>
          <cell r="DG106">
            <v>0</v>
          </cell>
          <cell r="DH106">
            <v>0</v>
          </cell>
          <cell r="DI106">
            <v>117452.74882003025</v>
          </cell>
          <cell r="DJ106">
            <v>9676.9500000000007</v>
          </cell>
          <cell r="DK106">
            <v>4442.6000000000004</v>
          </cell>
          <cell r="DL106">
            <v>5922.89</v>
          </cell>
          <cell r="DM106">
            <v>70073.495851086889</v>
          </cell>
          <cell r="DN106">
            <v>0</v>
          </cell>
          <cell r="DO106">
            <v>0</v>
          </cell>
          <cell r="DP106">
            <v>0</v>
          </cell>
          <cell r="DQ106">
            <v>90115.935851086891</v>
          </cell>
          <cell r="DR106">
            <v>0</v>
          </cell>
          <cell r="DS106">
            <v>0</v>
          </cell>
          <cell r="DT106">
            <v>0</v>
          </cell>
          <cell r="DU106">
            <v>0</v>
          </cell>
          <cell r="DV106">
            <v>0</v>
          </cell>
          <cell r="DW106">
            <v>0</v>
          </cell>
          <cell r="DX106">
            <v>0</v>
          </cell>
          <cell r="DY106">
            <v>3921.4073308812622</v>
          </cell>
          <cell r="DZ106">
            <v>1661.1876848732834</v>
          </cell>
          <cell r="EA106">
            <v>0</v>
          </cell>
          <cell r="EB106">
            <v>5582.5950157545458</v>
          </cell>
          <cell r="EE106">
            <v>0</v>
          </cell>
          <cell r="EH106">
            <v>0</v>
          </cell>
          <cell r="EI106">
            <v>13988.362700000005</v>
          </cell>
          <cell r="EK106">
            <v>0</v>
          </cell>
          <cell r="EL106">
            <v>2002</v>
          </cell>
          <cell r="EM106">
            <v>0</v>
          </cell>
          <cell r="EO106">
            <v>15990.362700000005</v>
          </cell>
          <cell r="EP106">
            <v>0</v>
          </cell>
          <cell r="EQ106">
            <v>0</v>
          </cell>
          <cell r="ER106">
            <v>1530912.0082544829</v>
          </cell>
          <cell r="ET106">
            <v>481</v>
          </cell>
          <cell r="EU106">
            <v>3182.7692479303178</v>
          </cell>
          <cell r="EV106" t="str">
            <v>No Variation Applied</v>
          </cell>
          <cell r="EW106">
            <v>51600</v>
          </cell>
          <cell r="EX106">
            <v>0</v>
          </cell>
          <cell r="EY106">
            <v>0</v>
          </cell>
          <cell r="EZ106">
            <v>131120.5851469879</v>
          </cell>
        </row>
        <row r="107">
          <cell r="C107" t="str">
            <v>Shelton Junior School</v>
          </cell>
          <cell r="D107">
            <v>5209</v>
          </cell>
          <cell r="F107" t="str">
            <v/>
          </cell>
          <cell r="G107">
            <v>0</v>
          </cell>
          <cell r="H107">
            <v>0</v>
          </cell>
          <cell r="I107">
            <v>0</v>
          </cell>
          <cell r="J107">
            <v>0</v>
          </cell>
          <cell r="L107">
            <v>0</v>
          </cell>
          <cell r="M107">
            <v>0</v>
          </cell>
          <cell r="N107">
            <v>0</v>
          </cell>
          <cell r="S107">
            <v>0</v>
          </cell>
          <cell r="T107">
            <v>0</v>
          </cell>
          <cell r="U107">
            <v>0</v>
          </cell>
          <cell r="Y107">
            <v>0</v>
          </cell>
          <cell r="Z107">
            <v>0</v>
          </cell>
          <cell r="AA107">
            <v>72</v>
          </cell>
          <cell r="AB107">
            <v>69</v>
          </cell>
          <cell r="AC107">
            <v>69</v>
          </cell>
          <cell r="AD107">
            <v>59</v>
          </cell>
          <cell r="AK107">
            <v>691142.54164935963</v>
          </cell>
          <cell r="AL107">
            <v>269</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I107">
            <v>0</v>
          </cell>
          <cell r="CJ107">
            <v>4654.8900000000003</v>
          </cell>
          <cell r="CK107">
            <v>5459.89</v>
          </cell>
          <cell r="CL107">
            <v>3216.5148670371559</v>
          </cell>
          <cell r="CM107">
            <v>13331.294867037157</v>
          </cell>
          <cell r="CQ107">
            <v>761.73095944609292</v>
          </cell>
          <cell r="CR107">
            <v>1808.74</v>
          </cell>
          <cell r="CS107">
            <v>5456.3020240839924</v>
          </cell>
          <cell r="CT107">
            <v>8026.7729835300852</v>
          </cell>
          <cell r="CU107">
            <v>4379.7231785719678</v>
          </cell>
          <cell r="CV107">
            <v>0</v>
          </cell>
          <cell r="CW107">
            <v>4379.7231785719678</v>
          </cell>
          <cell r="CX107">
            <v>0</v>
          </cell>
          <cell r="CZ107">
            <v>0</v>
          </cell>
          <cell r="DC107">
            <v>0</v>
          </cell>
          <cell r="DD107">
            <v>97581.918905387938</v>
          </cell>
          <cell r="DE107">
            <v>107778.79842588544</v>
          </cell>
          <cell r="DF107">
            <v>8561.1742475261744</v>
          </cell>
          <cell r="DG107">
            <v>0</v>
          </cell>
          <cell r="DH107">
            <v>0</v>
          </cell>
          <cell r="DI107">
            <v>213921.89157879955</v>
          </cell>
          <cell r="DJ107">
            <v>4468.0600000000004</v>
          </cell>
          <cell r="DK107">
            <v>2312.9</v>
          </cell>
          <cell r="DL107">
            <v>5139.75</v>
          </cell>
          <cell r="DM107">
            <v>70073.495851086889</v>
          </cell>
          <cell r="DN107">
            <v>0</v>
          </cell>
          <cell r="DO107">
            <v>0</v>
          </cell>
          <cell r="DP107">
            <v>0</v>
          </cell>
          <cell r="DQ107">
            <v>81994.205851086896</v>
          </cell>
          <cell r="DR107">
            <v>0</v>
          </cell>
          <cell r="DS107">
            <v>0</v>
          </cell>
          <cell r="DT107">
            <v>0</v>
          </cell>
          <cell r="DU107">
            <v>0</v>
          </cell>
          <cell r="DV107">
            <v>0</v>
          </cell>
          <cell r="DW107">
            <v>0</v>
          </cell>
          <cell r="DX107">
            <v>0</v>
          </cell>
          <cell r="DY107">
            <v>2941.0554981609466</v>
          </cell>
          <cell r="DZ107">
            <v>929.02180297487155</v>
          </cell>
          <cell r="EA107">
            <v>0</v>
          </cell>
          <cell r="EB107">
            <v>3870.0773011358183</v>
          </cell>
          <cell r="EE107">
            <v>0</v>
          </cell>
          <cell r="EH107">
            <v>0</v>
          </cell>
          <cell r="EI107">
            <v>0</v>
          </cell>
          <cell r="EK107">
            <v>0</v>
          </cell>
          <cell r="EL107">
            <v>0</v>
          </cell>
          <cell r="EM107">
            <v>0</v>
          </cell>
          <cell r="EO107">
            <v>0</v>
          </cell>
          <cell r="EP107">
            <v>0</v>
          </cell>
          <cell r="EQ107">
            <v>0</v>
          </cell>
          <cell r="ER107">
            <v>1016666.5074095213</v>
          </cell>
          <cell r="ET107">
            <v>269</v>
          </cell>
          <cell r="EU107">
            <v>3779.4293955744283</v>
          </cell>
          <cell r="EV107" t="str">
            <v>No Variation Applied</v>
          </cell>
          <cell r="EW107">
            <v>69250</v>
          </cell>
          <cell r="EX107">
            <v>0</v>
          </cell>
          <cell r="EY107">
            <v>0</v>
          </cell>
          <cell r="EZ107">
            <v>127317.2549385211</v>
          </cell>
        </row>
        <row r="109">
          <cell r="A109" t="str">
            <v>Middle Deemed Primary Schools</v>
          </cell>
        </row>
        <row r="110">
          <cell r="L110">
            <v>0</v>
          </cell>
          <cell r="M110">
            <v>0</v>
          </cell>
          <cell r="N110">
            <v>0</v>
          </cell>
          <cell r="S110">
            <v>0</v>
          </cell>
          <cell r="T110">
            <v>0</v>
          </cell>
          <cell r="AK110">
            <v>0</v>
          </cell>
          <cell r="AL110">
            <v>0</v>
          </cell>
          <cell r="CE110">
            <v>0</v>
          </cell>
          <cell r="CM110">
            <v>0</v>
          </cell>
          <cell r="CT110">
            <v>0</v>
          </cell>
          <cell r="CW110">
            <v>0</v>
          </cell>
          <cell r="CZ110">
            <v>0</v>
          </cell>
          <cell r="DC110">
            <v>0</v>
          </cell>
          <cell r="DI110">
            <v>0</v>
          </cell>
          <cell r="DQ110">
            <v>0</v>
          </cell>
          <cell r="DX110">
            <v>0</v>
          </cell>
          <cell r="EB110">
            <v>0</v>
          </cell>
          <cell r="EE110">
            <v>0</v>
          </cell>
          <cell r="EH110">
            <v>0</v>
          </cell>
          <cell r="EO110">
            <v>0</v>
          </cell>
          <cell r="EQ110">
            <v>0</v>
          </cell>
          <cell r="ER110">
            <v>0</v>
          </cell>
          <cell r="ET110">
            <v>0</v>
          </cell>
          <cell r="EU110">
            <v>0</v>
          </cell>
        </row>
        <row r="112">
          <cell r="B112" t="str">
            <v>Total/average Primary Schools</v>
          </cell>
          <cell r="G112">
            <v>0</v>
          </cell>
          <cell r="H112">
            <v>1151748</v>
          </cell>
          <cell r="I112">
            <v>0</v>
          </cell>
          <cell r="J112">
            <v>0</v>
          </cell>
          <cell r="K112">
            <v>0</v>
          </cell>
          <cell r="L112">
            <v>4027007.6894731792</v>
          </cell>
          <cell r="M112">
            <v>1151748</v>
          </cell>
          <cell r="N112">
            <v>1212.3663157894737</v>
          </cell>
          <cell r="O112">
            <v>0</v>
          </cell>
          <cell r="P112">
            <v>0</v>
          </cell>
          <cell r="Q112">
            <v>0</v>
          </cell>
          <cell r="R112">
            <v>0</v>
          </cell>
          <cell r="S112">
            <v>0</v>
          </cell>
          <cell r="T112">
            <v>0</v>
          </cell>
          <cell r="U112">
            <v>3073</v>
          </cell>
          <cell r="V112">
            <v>0</v>
          </cell>
          <cell r="W112">
            <v>0</v>
          </cell>
          <cell r="X112">
            <v>0</v>
          </cell>
          <cell r="Y112">
            <v>2984</v>
          </cell>
          <cell r="Z112">
            <v>2902</v>
          </cell>
          <cell r="AA112">
            <v>2904</v>
          </cell>
          <cell r="AB112">
            <v>2754</v>
          </cell>
          <cell r="AC112">
            <v>2703</v>
          </cell>
          <cell r="AD112">
            <v>2705</v>
          </cell>
          <cell r="AE112">
            <v>0</v>
          </cell>
          <cell r="AF112">
            <v>0</v>
          </cell>
          <cell r="AG112">
            <v>0</v>
          </cell>
          <cell r="AH112">
            <v>0</v>
          </cell>
          <cell r="AI112">
            <v>0</v>
          </cell>
          <cell r="AJ112">
            <v>0</v>
          </cell>
          <cell r="AK112">
            <v>51787081.491367385</v>
          </cell>
          <cell r="AL112">
            <v>20025</v>
          </cell>
          <cell r="BS112">
            <v>388178.46639999986</v>
          </cell>
          <cell r="BT112">
            <v>0</v>
          </cell>
          <cell r="BU112">
            <v>47898.528800000007</v>
          </cell>
          <cell r="BV112">
            <v>0</v>
          </cell>
          <cell r="BW112">
            <v>0</v>
          </cell>
          <cell r="BX112">
            <v>-95834.351361229812</v>
          </cell>
          <cell r="BY112">
            <v>0</v>
          </cell>
          <cell r="BZ112">
            <v>86331.082799999989</v>
          </cell>
          <cell r="CA112">
            <v>0</v>
          </cell>
          <cell r="CB112">
            <v>0</v>
          </cell>
          <cell r="CC112">
            <v>0</v>
          </cell>
          <cell r="CD112">
            <v>0</v>
          </cell>
          <cell r="CE112">
            <v>426573.72663877008</v>
          </cell>
          <cell r="CF112">
            <v>1338156.0566722197</v>
          </cell>
          <cell r="CG112">
            <v>0</v>
          </cell>
          <cell r="CH112">
            <v>0</v>
          </cell>
          <cell r="CI112">
            <v>0</v>
          </cell>
          <cell r="CJ112">
            <v>25091.43</v>
          </cell>
          <cell r="CK112">
            <v>406447.36000000016</v>
          </cell>
          <cell r="CL112">
            <v>224308.30690986101</v>
          </cell>
          <cell r="CM112">
            <v>1994003.1535820803</v>
          </cell>
          <cell r="CQ112">
            <v>541590.71216617187</v>
          </cell>
          <cell r="CR112">
            <v>786602.1399999999</v>
          </cell>
          <cell r="CS112">
            <v>815818.19523063255</v>
          </cell>
          <cell r="CT112">
            <v>2144011.0473968037</v>
          </cell>
          <cell r="CU112">
            <v>617465.88720987237</v>
          </cell>
          <cell r="CV112">
            <v>72077.730024498669</v>
          </cell>
          <cell r="CW112">
            <v>689543.6172343709</v>
          </cell>
          <cell r="CX112">
            <v>2353496.168027265</v>
          </cell>
          <cell r="CY112">
            <v>0</v>
          </cell>
          <cell r="CZ112">
            <v>2353496.168027265</v>
          </cell>
          <cell r="DA112">
            <v>0</v>
          </cell>
          <cell r="DB112">
            <v>0</v>
          </cell>
          <cell r="DC112">
            <v>0</v>
          </cell>
          <cell r="DD112">
            <v>6642029.7390771173</v>
          </cell>
          <cell r="DE112">
            <v>6240256.0000000028</v>
          </cell>
          <cell r="DF112">
            <v>539353.9775941493</v>
          </cell>
          <cell r="DG112">
            <v>0</v>
          </cell>
          <cell r="DH112">
            <v>0</v>
          </cell>
          <cell r="DI112">
            <v>13421639.716671266</v>
          </cell>
          <cell r="DJ112">
            <v>28835.33</v>
          </cell>
          <cell r="DK112">
            <v>1103902.7400000002</v>
          </cell>
          <cell r="DL112">
            <v>385040.63000000012</v>
          </cell>
          <cell r="DM112">
            <v>5091778.6013600025</v>
          </cell>
          <cell r="DN112">
            <v>0</v>
          </cell>
          <cell r="DO112">
            <v>0</v>
          </cell>
          <cell r="DP112">
            <v>0</v>
          </cell>
          <cell r="DQ112">
            <v>6609557.3013600055</v>
          </cell>
          <cell r="DR112">
            <v>268838.38087007642</v>
          </cell>
          <cell r="DS112">
            <v>0</v>
          </cell>
          <cell r="DT112">
            <v>31104.84474307199</v>
          </cell>
          <cell r="DU112">
            <v>0</v>
          </cell>
          <cell r="DV112">
            <v>0</v>
          </cell>
          <cell r="DW112">
            <v>0</v>
          </cell>
          <cell r="DX112">
            <v>299943.22561314842</v>
          </cell>
          <cell r="DY112">
            <v>406846.01057893108</v>
          </cell>
          <cell r="DZ112">
            <v>15365.122681915254</v>
          </cell>
          <cell r="EA112">
            <v>32313.418516252677</v>
          </cell>
          <cell r="EB112">
            <v>454524.55177709903</v>
          </cell>
          <cell r="EC112">
            <v>0</v>
          </cell>
          <cell r="ED112">
            <v>0</v>
          </cell>
          <cell r="EE112">
            <v>0</v>
          </cell>
          <cell r="EF112">
            <v>0</v>
          </cell>
          <cell r="EG112">
            <v>0</v>
          </cell>
          <cell r="EH112">
            <v>0</v>
          </cell>
          <cell r="EI112">
            <v>73232.580740000005</v>
          </cell>
          <cell r="EJ112">
            <v>0</v>
          </cell>
          <cell r="EK112">
            <v>0</v>
          </cell>
          <cell r="EL112">
            <v>312509</v>
          </cell>
          <cell r="EM112">
            <v>22184</v>
          </cell>
          <cell r="EN112">
            <v>0</v>
          </cell>
          <cell r="EO112">
            <v>407925.58074</v>
          </cell>
          <cell r="EP112">
            <v>990722.51514407375</v>
          </cell>
          <cell r="EQ112">
            <v>4453581.4161119508</v>
          </cell>
          <cell r="ER112">
            <v>85606029.785025463</v>
          </cell>
          <cell r="ET112">
            <v>21237.366315789473</v>
          </cell>
          <cell r="EU112">
            <v>4030.9155340688089</v>
          </cell>
          <cell r="EW112">
            <v>3641700</v>
          </cell>
          <cell r="EX112">
            <v>0</v>
          </cell>
          <cell r="EY112">
            <v>0</v>
          </cell>
          <cell r="EZ112">
            <v>12933618.800784685</v>
          </cell>
        </row>
        <row r="114">
          <cell r="A114" t="str">
            <v>Secondary Schools</v>
          </cell>
        </row>
        <row r="115">
          <cell r="C115" t="str">
            <v>Sinfin Community School</v>
          </cell>
          <cell r="D115">
            <v>4158</v>
          </cell>
          <cell r="F115" t="str">
            <v/>
          </cell>
          <cell r="G115">
            <v>0</v>
          </cell>
          <cell r="H115">
            <v>0</v>
          </cell>
          <cell r="I115">
            <v>0</v>
          </cell>
          <cell r="J115">
            <v>0</v>
          </cell>
          <cell r="L115">
            <v>0</v>
          </cell>
          <cell r="M115">
            <v>0</v>
          </cell>
          <cell r="N115">
            <v>0</v>
          </cell>
          <cell r="S115">
            <v>0</v>
          </cell>
          <cell r="T115">
            <v>0</v>
          </cell>
          <cell r="AW115">
            <v>158</v>
          </cell>
          <cell r="AX115">
            <v>217</v>
          </cell>
          <cell r="AY115">
            <v>208</v>
          </cell>
          <cell r="AZ115">
            <v>180</v>
          </cell>
          <cell r="BA115">
            <v>132</v>
          </cell>
          <cell r="BB115">
            <v>0</v>
          </cell>
          <cell r="BC115">
            <v>3121659.7636003783</v>
          </cell>
          <cell r="BD115">
            <v>895</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I115">
            <v>0</v>
          </cell>
          <cell r="CJ115">
            <v>0</v>
          </cell>
          <cell r="CK115">
            <v>27675.200000000001</v>
          </cell>
          <cell r="CL115">
            <v>10635.467967951507</v>
          </cell>
          <cell r="CM115">
            <v>38310.667967951507</v>
          </cell>
          <cell r="CN115">
            <v>0</v>
          </cell>
          <cell r="CO115">
            <v>0</v>
          </cell>
          <cell r="CP115">
            <v>0</v>
          </cell>
          <cell r="CQ115">
            <v>26660.583580613253</v>
          </cell>
          <cell r="CR115">
            <v>74979.622217422104</v>
          </cell>
          <cell r="CS115">
            <v>49043.306638249262</v>
          </cell>
          <cell r="CT115">
            <v>150683.51243628463</v>
          </cell>
          <cell r="CU115">
            <v>5826.492414329543</v>
          </cell>
          <cell r="CV115">
            <v>0</v>
          </cell>
          <cell r="CW115">
            <v>5826.492414329543</v>
          </cell>
          <cell r="CX115">
            <v>0</v>
          </cell>
          <cell r="CZ115">
            <v>0</v>
          </cell>
          <cell r="DC115">
            <v>0</v>
          </cell>
          <cell r="DD115">
            <v>309366.49522856972</v>
          </cell>
          <cell r="DE115">
            <v>316101.15560301358</v>
          </cell>
          <cell r="DF115">
            <v>59669.525040929933</v>
          </cell>
          <cell r="DG115">
            <v>351669.52085372945</v>
          </cell>
          <cell r="DH115">
            <v>28653.434986334571</v>
          </cell>
          <cell r="DI115">
            <v>1065460.1317125773</v>
          </cell>
          <cell r="DJ115">
            <v>0</v>
          </cell>
          <cell r="DK115">
            <v>17404</v>
          </cell>
          <cell r="DL115">
            <v>14712.544684989265</v>
          </cell>
          <cell r="DM115">
            <v>349775.30324456643</v>
          </cell>
          <cell r="DN115">
            <v>0</v>
          </cell>
          <cell r="DO115">
            <v>0</v>
          </cell>
          <cell r="DP115">
            <v>0</v>
          </cell>
          <cell r="DQ115">
            <v>381891.84792955569</v>
          </cell>
          <cell r="DR115">
            <v>0</v>
          </cell>
          <cell r="DS115">
            <v>0</v>
          </cell>
          <cell r="DT115">
            <v>0</v>
          </cell>
          <cell r="DU115">
            <v>0</v>
          </cell>
          <cell r="DV115">
            <v>0</v>
          </cell>
          <cell r="DW115">
            <v>0</v>
          </cell>
          <cell r="DX115">
            <v>0</v>
          </cell>
          <cell r="DY115">
            <v>53427.226659125365</v>
          </cell>
          <cell r="DZ115">
            <v>4682.6090626835021</v>
          </cell>
          <cell r="EA115">
            <v>0</v>
          </cell>
          <cell r="EB115">
            <v>58109.835721808864</v>
          </cell>
          <cell r="EE115">
            <v>0</v>
          </cell>
          <cell r="EH115">
            <v>0</v>
          </cell>
          <cell r="EI115">
            <v>7833.08025</v>
          </cell>
          <cell r="EK115">
            <v>0</v>
          </cell>
          <cell r="EL115">
            <v>56310.286654958778</v>
          </cell>
          <cell r="EM115">
            <v>0</v>
          </cell>
          <cell r="EO115">
            <v>64143.366904958777</v>
          </cell>
          <cell r="EP115">
            <v>749.30697459448129</v>
          </cell>
          <cell r="EQ115">
            <v>0</v>
          </cell>
          <cell r="ER115">
            <v>4886834.9256624393</v>
          </cell>
          <cell r="ES115">
            <v>0</v>
          </cell>
          <cell r="ET115">
            <v>895</v>
          </cell>
          <cell r="EU115">
            <v>5460.1507549300995</v>
          </cell>
          <cell r="EV115" t="str">
            <v>No Variation Applied</v>
          </cell>
          <cell r="EW115">
            <v>235000</v>
          </cell>
          <cell r="EX115">
            <v>0</v>
          </cell>
          <cell r="EY115">
            <v>0</v>
          </cell>
          <cell r="EZ115">
            <v>964286.66595578985</v>
          </cell>
        </row>
        <row r="116">
          <cell r="C116" t="str">
            <v>Bemrose School</v>
          </cell>
          <cell r="D116">
            <v>4177</v>
          </cell>
          <cell r="F116" t="str">
            <v/>
          </cell>
          <cell r="G116">
            <v>0</v>
          </cell>
          <cell r="H116">
            <v>0</v>
          </cell>
          <cell r="I116">
            <v>0</v>
          </cell>
          <cell r="J116">
            <v>0</v>
          </cell>
          <cell r="L116">
            <v>0</v>
          </cell>
          <cell r="M116">
            <v>0</v>
          </cell>
          <cell r="N116">
            <v>0</v>
          </cell>
          <cell r="S116">
            <v>0</v>
          </cell>
          <cell r="T116">
            <v>0</v>
          </cell>
          <cell r="AW116">
            <v>112</v>
          </cell>
          <cell r="AX116">
            <v>127</v>
          </cell>
          <cell r="AY116">
            <v>127</v>
          </cell>
          <cell r="AZ116">
            <v>166</v>
          </cell>
          <cell r="BA116">
            <v>114</v>
          </cell>
          <cell r="BB116">
            <v>0</v>
          </cell>
          <cell r="BC116">
            <v>2278563.4922423577</v>
          </cell>
          <cell r="BD116">
            <v>646</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I116">
            <v>0</v>
          </cell>
          <cell r="CJ116">
            <v>0</v>
          </cell>
          <cell r="CK116">
            <v>21181.58</v>
          </cell>
          <cell r="CL116">
            <v>5518.6058504229995</v>
          </cell>
          <cell r="CM116">
            <v>26700.185850423</v>
          </cell>
          <cell r="CN116">
            <v>0</v>
          </cell>
          <cell r="CO116">
            <v>0</v>
          </cell>
          <cell r="CP116">
            <v>0</v>
          </cell>
          <cell r="CQ116">
            <v>39610.009891196831</v>
          </cell>
          <cell r="CR116">
            <v>75391.598163671675</v>
          </cell>
          <cell r="CS116">
            <v>70322.427287076411</v>
          </cell>
          <cell r="CT116">
            <v>185324.03534194489</v>
          </cell>
          <cell r="CU116">
            <v>5826.492414329543</v>
          </cell>
          <cell r="CV116">
            <v>0</v>
          </cell>
          <cell r="CW116">
            <v>5826.492414329543</v>
          </cell>
          <cell r="CX116">
            <v>424905.67541130533</v>
          </cell>
          <cell r="CZ116">
            <v>424905.67541130533</v>
          </cell>
          <cell r="DC116">
            <v>0</v>
          </cell>
          <cell r="DD116">
            <v>286412.05177958042</v>
          </cell>
          <cell r="DE116">
            <v>296845.39787625318</v>
          </cell>
          <cell r="DF116">
            <v>49724.604200774949</v>
          </cell>
          <cell r="DG116">
            <v>373399.59026152932</v>
          </cell>
          <cell r="DH116">
            <v>26253.466008428906</v>
          </cell>
          <cell r="DI116">
            <v>1032635.1101265668</v>
          </cell>
          <cell r="DJ116">
            <v>0</v>
          </cell>
          <cell r="DK116">
            <v>18320</v>
          </cell>
          <cell r="DL116">
            <v>41653.876957218185</v>
          </cell>
          <cell r="DM116">
            <v>349775.30324456643</v>
          </cell>
          <cell r="DN116">
            <v>0</v>
          </cell>
          <cell r="DO116">
            <v>0</v>
          </cell>
          <cell r="DP116">
            <v>0</v>
          </cell>
          <cell r="DQ116">
            <v>409749.18020178459</v>
          </cell>
          <cell r="DR116">
            <v>0</v>
          </cell>
          <cell r="DS116">
            <v>0</v>
          </cell>
          <cell r="DT116">
            <v>0</v>
          </cell>
          <cell r="DU116">
            <v>0</v>
          </cell>
          <cell r="DV116">
            <v>0</v>
          </cell>
          <cell r="DW116">
            <v>0</v>
          </cell>
          <cell r="DX116">
            <v>0</v>
          </cell>
          <cell r="DY116">
            <v>59942.742105360165</v>
          </cell>
          <cell r="DZ116">
            <v>3583.8963217186579</v>
          </cell>
          <cell r="EA116">
            <v>25014.107810889549</v>
          </cell>
          <cell r="EB116">
            <v>88540.746237968371</v>
          </cell>
          <cell r="EE116">
            <v>0</v>
          </cell>
          <cell r="EH116">
            <v>0</v>
          </cell>
          <cell r="EI116">
            <v>24017.752675</v>
          </cell>
          <cell r="EK116">
            <v>-67124.723093170003</v>
          </cell>
          <cell r="EL116">
            <v>0</v>
          </cell>
          <cell r="EM116">
            <v>13121</v>
          </cell>
          <cell r="EO116">
            <v>-29985.970418170007</v>
          </cell>
          <cell r="EP116">
            <v>0</v>
          </cell>
          <cell r="EQ116">
            <v>0</v>
          </cell>
          <cell r="ER116">
            <v>4422258.9474085104</v>
          </cell>
          <cell r="ES116">
            <v>39</v>
          </cell>
          <cell r="ET116">
            <v>685</v>
          </cell>
          <cell r="EU116">
            <v>6455.8524779686286</v>
          </cell>
          <cell r="EV116" t="str">
            <v>No Variation Applied</v>
          </cell>
          <cell r="EW116">
            <v>189250</v>
          </cell>
          <cell r="EX116">
            <v>0</v>
          </cell>
          <cell r="EY116">
            <v>0</v>
          </cell>
          <cell r="EZ116">
            <v>1382821.6816414222</v>
          </cell>
        </row>
        <row r="117">
          <cell r="C117" t="str">
            <v>Derby Moor Community Sports College</v>
          </cell>
          <cell r="D117">
            <v>4178</v>
          </cell>
          <cell r="F117" t="str">
            <v/>
          </cell>
          <cell r="G117">
            <v>0</v>
          </cell>
          <cell r="H117">
            <v>0</v>
          </cell>
          <cell r="I117">
            <v>0</v>
          </cell>
          <cell r="J117">
            <v>0</v>
          </cell>
          <cell r="L117">
            <v>0</v>
          </cell>
          <cell r="M117">
            <v>0</v>
          </cell>
          <cell r="N117">
            <v>0</v>
          </cell>
          <cell r="S117">
            <v>0</v>
          </cell>
          <cell r="T117">
            <v>0</v>
          </cell>
          <cell r="AW117">
            <v>250</v>
          </cell>
          <cell r="AX117">
            <v>249</v>
          </cell>
          <cell r="AY117">
            <v>250</v>
          </cell>
          <cell r="AZ117">
            <v>248</v>
          </cell>
          <cell r="BA117">
            <v>236</v>
          </cell>
          <cell r="BB117">
            <v>0</v>
          </cell>
          <cell r="BC117">
            <v>4325661.8173406543</v>
          </cell>
          <cell r="BD117">
            <v>1233</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I117">
            <v>0</v>
          </cell>
          <cell r="CJ117">
            <v>0</v>
          </cell>
          <cell r="CK117">
            <v>41868.410000000003</v>
          </cell>
          <cell r="CL117">
            <v>12377.426228778148</v>
          </cell>
          <cell r="CM117">
            <v>54245.836228778149</v>
          </cell>
          <cell r="CN117">
            <v>0</v>
          </cell>
          <cell r="CO117">
            <v>0</v>
          </cell>
          <cell r="CP117">
            <v>0</v>
          </cell>
          <cell r="CQ117">
            <v>22851.928783382788</v>
          </cell>
          <cell r="CR117">
            <v>134716.13442361003</v>
          </cell>
          <cell r="CS117">
            <v>124634.84951455907</v>
          </cell>
          <cell r="CT117">
            <v>282202.9127215519</v>
          </cell>
          <cell r="CU117">
            <v>15294.542587615051</v>
          </cell>
          <cell r="CV117">
            <v>0</v>
          </cell>
          <cell r="CW117">
            <v>15294.542587615051</v>
          </cell>
          <cell r="CX117">
            <v>0</v>
          </cell>
          <cell r="CZ117">
            <v>0</v>
          </cell>
          <cell r="DC117">
            <v>0</v>
          </cell>
          <cell r="DD117">
            <v>358475.94590917358</v>
          </cell>
          <cell r="DE117">
            <v>372334.78436257935</v>
          </cell>
          <cell r="DF117">
            <v>59669.525040929933</v>
          </cell>
          <cell r="DG117">
            <v>362385.88490148424</v>
          </cell>
          <cell r="DH117">
            <v>34129.90001000074</v>
          </cell>
          <cell r="DI117">
            <v>1186996.0402241678</v>
          </cell>
          <cell r="DJ117">
            <v>0</v>
          </cell>
          <cell r="DK117">
            <v>23587</v>
          </cell>
          <cell r="DL117">
            <v>36173.633618087573</v>
          </cell>
          <cell r="DM117">
            <v>349775.30324456643</v>
          </cell>
          <cell r="DN117">
            <v>0</v>
          </cell>
          <cell r="DO117">
            <v>0</v>
          </cell>
          <cell r="DP117">
            <v>0</v>
          </cell>
          <cell r="DQ117">
            <v>409535.93686265399</v>
          </cell>
          <cell r="DR117">
            <v>0</v>
          </cell>
          <cell r="DS117">
            <v>0</v>
          </cell>
          <cell r="DT117">
            <v>0</v>
          </cell>
          <cell r="DU117">
            <v>0</v>
          </cell>
          <cell r="DV117">
            <v>0</v>
          </cell>
          <cell r="DW117">
            <v>0</v>
          </cell>
          <cell r="DX117">
            <v>0</v>
          </cell>
          <cell r="DY117">
            <v>36486.886498914879</v>
          </cell>
          <cell r="DZ117">
            <v>7084.0811965066614</v>
          </cell>
          <cell r="EA117">
            <v>0</v>
          </cell>
          <cell r="EB117">
            <v>43570.967695421539</v>
          </cell>
          <cell r="EE117">
            <v>0</v>
          </cell>
          <cell r="EH117">
            <v>0</v>
          </cell>
          <cell r="EI117">
            <v>18043.833143835614</v>
          </cell>
          <cell r="EK117">
            <v>-120004.3156188073</v>
          </cell>
          <cell r="EL117">
            <v>11312.379303337086</v>
          </cell>
          <cell r="EM117">
            <v>0</v>
          </cell>
          <cell r="EO117">
            <v>-90648.103171634604</v>
          </cell>
          <cell r="EP117">
            <v>0</v>
          </cell>
          <cell r="EQ117">
            <v>0</v>
          </cell>
          <cell r="ER117">
            <v>6226859.9504892081</v>
          </cell>
          <cell r="ES117">
            <v>121</v>
          </cell>
          <cell r="ET117">
            <v>1354</v>
          </cell>
          <cell r="EU117">
            <v>4598.8625926803606</v>
          </cell>
          <cell r="EV117" t="str">
            <v>No Variation Applied</v>
          </cell>
          <cell r="EW117">
            <v>266900</v>
          </cell>
          <cell r="EX117">
            <v>0</v>
          </cell>
          <cell r="EY117">
            <v>0</v>
          </cell>
          <cell r="EZ117">
            <v>1105755.684217449</v>
          </cell>
        </row>
        <row r="118">
          <cell r="C118" t="str">
            <v>Littleover Community School</v>
          </cell>
          <cell r="D118">
            <v>4182</v>
          </cell>
          <cell r="F118" t="str">
            <v/>
          </cell>
          <cell r="G118">
            <v>0</v>
          </cell>
          <cell r="H118">
            <v>0</v>
          </cell>
          <cell r="I118">
            <v>0</v>
          </cell>
          <cell r="J118">
            <v>0</v>
          </cell>
          <cell r="L118">
            <v>0</v>
          </cell>
          <cell r="M118">
            <v>0</v>
          </cell>
          <cell r="N118">
            <v>0</v>
          </cell>
          <cell r="S118">
            <v>0</v>
          </cell>
          <cell r="T118">
            <v>0</v>
          </cell>
          <cell r="AW118">
            <v>265</v>
          </cell>
          <cell r="AX118">
            <v>266</v>
          </cell>
          <cell r="AY118">
            <v>270</v>
          </cell>
          <cell r="AZ118">
            <v>253</v>
          </cell>
          <cell r="BA118">
            <v>251</v>
          </cell>
          <cell r="BB118">
            <v>0</v>
          </cell>
          <cell r="BC118">
            <v>4574427.3716929741</v>
          </cell>
          <cell r="BD118">
            <v>1305</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I118">
            <v>0</v>
          </cell>
          <cell r="CJ118">
            <v>0</v>
          </cell>
          <cell r="CK118">
            <v>47217.91</v>
          </cell>
          <cell r="CL118">
            <v>20387.93334979652</v>
          </cell>
          <cell r="CM118">
            <v>67605.843349796516</v>
          </cell>
          <cell r="CN118">
            <v>0</v>
          </cell>
          <cell r="CO118">
            <v>0</v>
          </cell>
          <cell r="CP118">
            <v>0</v>
          </cell>
          <cell r="CQ118">
            <v>9902.5024727992077</v>
          </cell>
          <cell r="CR118">
            <v>96402.37142239984</v>
          </cell>
          <cell r="CS118">
            <v>67485.211200566133</v>
          </cell>
          <cell r="CT118">
            <v>173790.08509576519</v>
          </cell>
          <cell r="CU118">
            <v>20392.7234501534</v>
          </cell>
          <cell r="CV118">
            <v>0</v>
          </cell>
          <cell r="CW118">
            <v>20392.7234501534</v>
          </cell>
          <cell r="CX118">
            <v>0</v>
          </cell>
          <cell r="CZ118">
            <v>0</v>
          </cell>
          <cell r="DC118">
            <v>0</v>
          </cell>
          <cell r="DD118">
            <v>123938.63191838541</v>
          </cell>
          <cell r="DE118">
            <v>84009.633268078542</v>
          </cell>
          <cell r="DF118">
            <v>33149.736133849961</v>
          </cell>
          <cell r="DG118">
            <v>196502.75791748613</v>
          </cell>
          <cell r="DH118">
            <v>26528.295078408701</v>
          </cell>
          <cell r="DI118">
            <v>464129.0543162087</v>
          </cell>
          <cell r="DJ118">
            <v>0</v>
          </cell>
          <cell r="DK118">
            <v>92516</v>
          </cell>
          <cell r="DL118">
            <v>30092.899673695418</v>
          </cell>
          <cell r="DM118">
            <v>349775.30324456643</v>
          </cell>
          <cell r="DN118">
            <v>0</v>
          </cell>
          <cell r="DO118">
            <v>0</v>
          </cell>
          <cell r="DP118">
            <v>0</v>
          </cell>
          <cell r="DQ118">
            <v>472384.20291826187</v>
          </cell>
          <cell r="DR118">
            <v>0</v>
          </cell>
          <cell r="DS118">
            <v>0</v>
          </cell>
          <cell r="DT118">
            <v>0</v>
          </cell>
          <cell r="DU118">
            <v>0</v>
          </cell>
          <cell r="DV118">
            <v>0</v>
          </cell>
          <cell r="DW118">
            <v>0</v>
          </cell>
          <cell r="DX118">
            <v>0</v>
          </cell>
          <cell r="DY118">
            <v>26062.0617849392</v>
          </cell>
          <cell r="DZ118">
            <v>0</v>
          </cell>
          <cell r="EA118">
            <v>0</v>
          </cell>
          <cell r="EB118">
            <v>26062.0617849392</v>
          </cell>
          <cell r="EE118">
            <v>0</v>
          </cell>
          <cell r="EH118">
            <v>0</v>
          </cell>
          <cell r="EI118">
            <v>0</v>
          </cell>
          <cell r="EK118">
            <v>-120004.85812282367</v>
          </cell>
          <cell r="EL118">
            <v>2792</v>
          </cell>
          <cell r="EM118">
            <v>0</v>
          </cell>
          <cell r="EO118">
            <v>-117212.85812282367</v>
          </cell>
          <cell r="EP118">
            <v>0</v>
          </cell>
          <cell r="EQ118">
            <v>0</v>
          </cell>
          <cell r="ER118">
            <v>5681578.4844852751</v>
          </cell>
          <cell r="ES118">
            <v>222</v>
          </cell>
          <cell r="ET118">
            <v>1527</v>
          </cell>
          <cell r="EU118">
            <v>3720.7455694075147</v>
          </cell>
          <cell r="EV118" t="str">
            <v>No Variation Applied</v>
          </cell>
          <cell r="EW118">
            <v>96800</v>
          </cell>
          <cell r="EX118">
            <v>0</v>
          </cell>
          <cell r="EY118">
            <v>0</v>
          </cell>
          <cell r="EZ118">
            <v>625068.53170515003</v>
          </cell>
        </row>
        <row r="119">
          <cell r="C119" t="str">
            <v>Saint Benedict Catholic School and Performing Arts College</v>
          </cell>
          <cell r="D119">
            <v>4607</v>
          </cell>
          <cell r="F119" t="str">
            <v/>
          </cell>
          <cell r="G119">
            <v>0</v>
          </cell>
          <cell r="H119">
            <v>0</v>
          </cell>
          <cell r="I119">
            <v>0</v>
          </cell>
          <cell r="J119">
            <v>0</v>
          </cell>
          <cell r="L119">
            <v>0</v>
          </cell>
          <cell r="M119">
            <v>0</v>
          </cell>
          <cell r="N119">
            <v>0</v>
          </cell>
          <cell r="S119">
            <v>0</v>
          </cell>
          <cell r="T119">
            <v>0</v>
          </cell>
          <cell r="AW119">
            <v>245</v>
          </cell>
          <cell r="AX119">
            <v>241</v>
          </cell>
          <cell r="AY119">
            <v>246</v>
          </cell>
          <cell r="AZ119">
            <v>243</v>
          </cell>
          <cell r="BA119">
            <v>233</v>
          </cell>
          <cell r="BB119">
            <v>0</v>
          </cell>
          <cell r="BC119">
            <v>4238795.8890279643</v>
          </cell>
          <cell r="BD119">
            <v>1208</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I119">
            <v>0</v>
          </cell>
          <cell r="CJ119">
            <v>0</v>
          </cell>
          <cell r="CK119">
            <v>46197.49</v>
          </cell>
          <cell r="CL119">
            <v>19895.45260460423</v>
          </cell>
          <cell r="CM119">
            <v>66092.942604604235</v>
          </cell>
          <cell r="CN119">
            <v>0</v>
          </cell>
          <cell r="CO119">
            <v>0</v>
          </cell>
          <cell r="CP119">
            <v>0</v>
          </cell>
          <cell r="CQ119">
            <v>19805.004945598415</v>
          </cell>
          <cell r="CR119">
            <v>55616.752743692217</v>
          </cell>
          <cell r="CS119">
            <v>56744.321730205753</v>
          </cell>
          <cell r="CT119">
            <v>132166.07941949638</v>
          </cell>
          <cell r="CU119">
            <v>42242.070003889188</v>
          </cell>
          <cell r="CV119">
            <v>0</v>
          </cell>
          <cell r="CW119">
            <v>42242.070003889188</v>
          </cell>
          <cell r="CX119">
            <v>560475.59116377262</v>
          </cell>
          <cell r="CZ119">
            <v>560475.59116377262</v>
          </cell>
          <cell r="DC119">
            <v>0</v>
          </cell>
          <cell r="DD119">
            <v>267003.8330017401</v>
          </cell>
          <cell r="DE119">
            <v>340639.46633446048</v>
          </cell>
          <cell r="DF119">
            <v>62984.498654314935</v>
          </cell>
          <cell r="DG119">
            <v>374874.39156794333</v>
          </cell>
          <cell r="DH119">
            <v>33471.305665310094</v>
          </cell>
          <cell r="DI119">
            <v>1078973.4952237688</v>
          </cell>
          <cell r="DJ119">
            <v>0</v>
          </cell>
          <cell r="DK119">
            <v>27022</v>
          </cell>
          <cell r="DL119">
            <v>66863.405152482504</v>
          </cell>
          <cell r="DM119">
            <v>349775.30324456643</v>
          </cell>
          <cell r="DN119">
            <v>0</v>
          </cell>
          <cell r="DO119">
            <v>0</v>
          </cell>
          <cell r="DP119">
            <v>0</v>
          </cell>
          <cell r="DQ119">
            <v>443660.70839704893</v>
          </cell>
          <cell r="DR119">
            <v>0</v>
          </cell>
          <cell r="DS119">
            <v>0</v>
          </cell>
          <cell r="DT119">
            <v>0</v>
          </cell>
          <cell r="DU119">
            <v>19329.921551105632</v>
          </cell>
          <cell r="DV119">
            <v>0</v>
          </cell>
          <cell r="DW119">
            <v>0</v>
          </cell>
          <cell r="DX119">
            <v>19329.921551105632</v>
          </cell>
          <cell r="DY119">
            <v>49517.917391384479</v>
          </cell>
          <cell r="DZ119">
            <v>7816.5563571498906</v>
          </cell>
          <cell r="EA119">
            <v>0</v>
          </cell>
          <cell r="EB119">
            <v>57334.473748534372</v>
          </cell>
          <cell r="EE119">
            <v>0</v>
          </cell>
          <cell r="EH119">
            <v>0</v>
          </cell>
          <cell r="EI119">
            <v>4360.4693799999995</v>
          </cell>
          <cell r="EK119">
            <v>-237443.52248369143</v>
          </cell>
          <cell r="EL119">
            <v>36560.386976727175</v>
          </cell>
          <cell r="EM119">
            <v>0</v>
          </cell>
          <cell r="EO119">
            <v>-196522.66612696426</v>
          </cell>
          <cell r="EP119">
            <v>0</v>
          </cell>
          <cell r="EQ119">
            <v>0</v>
          </cell>
          <cell r="ER119">
            <v>6442548.50501322</v>
          </cell>
          <cell r="ES119">
            <v>286</v>
          </cell>
          <cell r="ET119">
            <v>1494</v>
          </cell>
          <cell r="EU119">
            <v>4312.2814625255824</v>
          </cell>
          <cell r="EV119" t="str">
            <v>No Variation Applied</v>
          </cell>
          <cell r="EW119">
            <v>212400</v>
          </cell>
          <cell r="EX119">
            <v>0</v>
          </cell>
          <cell r="EY119">
            <v>0</v>
          </cell>
          <cell r="EZ119">
            <v>1556188.5102463106</v>
          </cell>
        </row>
        <row r="120">
          <cell r="C120" t="str">
            <v>da Vinci Community College</v>
          </cell>
          <cell r="D120">
            <v>4608</v>
          </cell>
          <cell r="F120" t="str">
            <v/>
          </cell>
          <cell r="G120">
            <v>0</v>
          </cell>
          <cell r="H120">
            <v>0</v>
          </cell>
          <cell r="I120">
            <v>0</v>
          </cell>
          <cell r="J120">
            <v>0</v>
          </cell>
          <cell r="L120">
            <v>0</v>
          </cell>
          <cell r="M120">
            <v>0</v>
          </cell>
          <cell r="N120">
            <v>0</v>
          </cell>
          <cell r="S120">
            <v>0</v>
          </cell>
          <cell r="T120">
            <v>0</v>
          </cell>
          <cell r="AW120">
            <v>125</v>
          </cell>
          <cell r="AX120">
            <v>129</v>
          </cell>
          <cell r="AY120">
            <v>130</v>
          </cell>
          <cell r="AZ120">
            <v>145</v>
          </cell>
          <cell r="BA120">
            <v>87</v>
          </cell>
          <cell r="BB120">
            <v>0</v>
          </cell>
          <cell r="BC120">
            <v>2156535.0832579779</v>
          </cell>
          <cell r="BD120">
            <v>616</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I120">
            <v>0</v>
          </cell>
          <cell r="CJ120">
            <v>0</v>
          </cell>
          <cell r="CK120">
            <v>19047.96</v>
          </cell>
          <cell r="CL120">
            <v>3874.4383625674836</v>
          </cell>
          <cell r="CM120">
            <v>22922.398362567481</v>
          </cell>
          <cell r="CN120">
            <v>0</v>
          </cell>
          <cell r="CO120">
            <v>0</v>
          </cell>
          <cell r="CP120">
            <v>0</v>
          </cell>
          <cell r="CQ120">
            <v>19805.004945598415</v>
          </cell>
          <cell r="CR120">
            <v>9887.4227099897271</v>
          </cell>
          <cell r="CS120">
            <v>6079.7487568077595</v>
          </cell>
          <cell r="CT120">
            <v>35772.1764123959</v>
          </cell>
          <cell r="CU120">
            <v>41999.299486625467</v>
          </cell>
          <cell r="CV120">
            <v>0</v>
          </cell>
          <cell r="CW120">
            <v>41999.299486625467</v>
          </cell>
          <cell r="CX120">
            <v>0</v>
          </cell>
          <cell r="CZ120">
            <v>0</v>
          </cell>
          <cell r="DC120">
            <v>0</v>
          </cell>
          <cell r="DD120">
            <v>247787.6480508573</v>
          </cell>
          <cell r="DE120">
            <v>201077.82404935636</v>
          </cell>
          <cell r="DF120">
            <v>61327.011847622438</v>
          </cell>
          <cell r="DG120">
            <v>210242.00896954272</v>
          </cell>
          <cell r="DH120">
            <v>22940.27729439408</v>
          </cell>
          <cell r="DI120">
            <v>743374.77021177288</v>
          </cell>
          <cell r="DJ120">
            <v>0</v>
          </cell>
          <cell r="DK120">
            <v>24961</v>
          </cell>
          <cell r="DL120">
            <v>9479.1770722006495</v>
          </cell>
          <cell r="DM120">
            <v>349775.30324456643</v>
          </cell>
          <cell r="DN120">
            <v>0</v>
          </cell>
          <cell r="DO120">
            <v>0</v>
          </cell>
          <cell r="DP120">
            <v>0</v>
          </cell>
          <cell r="DQ120">
            <v>384215.48031676706</v>
          </cell>
          <cell r="DR120">
            <v>19520.89729508699</v>
          </cell>
          <cell r="DS120">
            <v>0</v>
          </cell>
          <cell r="DT120">
            <v>6431.2990378446411</v>
          </cell>
          <cell r="DU120">
            <v>0</v>
          </cell>
          <cell r="DV120">
            <v>0</v>
          </cell>
          <cell r="DW120">
            <v>0</v>
          </cell>
          <cell r="DX120">
            <v>25952.196332931631</v>
          </cell>
          <cell r="DY120">
            <v>46911.711212890565</v>
          </cell>
          <cell r="DZ120">
            <v>3222.8907068302092</v>
          </cell>
          <cell r="EA120">
            <v>51567.545333218455</v>
          </cell>
          <cell r="EB120">
            <v>101702.14725293923</v>
          </cell>
          <cell r="EE120">
            <v>0</v>
          </cell>
          <cell r="EH120">
            <v>0</v>
          </cell>
          <cell r="EI120">
            <v>0</v>
          </cell>
          <cell r="EK120">
            <v>0</v>
          </cell>
          <cell r="EL120">
            <v>52533.509827925474</v>
          </cell>
          <cell r="EM120">
            <v>0</v>
          </cell>
          <cell r="EO120">
            <v>52533.509827925474</v>
          </cell>
          <cell r="EP120">
            <v>171801.3276963071</v>
          </cell>
          <cell r="EQ120">
            <v>0</v>
          </cell>
          <cell r="ER120">
            <v>3736808.3891582103</v>
          </cell>
          <cell r="ES120">
            <v>0</v>
          </cell>
          <cell r="ET120">
            <v>616</v>
          </cell>
          <cell r="EU120">
            <v>6066.2473849970947</v>
          </cell>
          <cell r="EV120" t="str">
            <v>No Variation Applied</v>
          </cell>
          <cell r="EW120">
            <v>201150</v>
          </cell>
          <cell r="EX120">
            <v>0</v>
          </cell>
          <cell r="EY120">
            <v>0</v>
          </cell>
          <cell r="EZ120">
            <v>698090.10432136129</v>
          </cell>
        </row>
        <row r="121">
          <cell r="C121" t="str">
            <v>Merrill College</v>
          </cell>
          <cell r="D121">
            <v>4609</v>
          </cell>
          <cell r="F121" t="str">
            <v/>
          </cell>
          <cell r="G121">
            <v>0</v>
          </cell>
          <cell r="H121">
            <v>0</v>
          </cell>
          <cell r="I121">
            <v>0</v>
          </cell>
          <cell r="J121">
            <v>0</v>
          </cell>
          <cell r="L121">
            <v>0</v>
          </cell>
          <cell r="M121">
            <v>0</v>
          </cell>
          <cell r="N121">
            <v>0</v>
          </cell>
          <cell r="S121">
            <v>0</v>
          </cell>
          <cell r="T121">
            <v>0</v>
          </cell>
          <cell r="AW121">
            <v>158</v>
          </cell>
          <cell r="AX121">
            <v>192</v>
          </cell>
          <cell r="AY121">
            <v>161</v>
          </cell>
          <cell r="AZ121">
            <v>198</v>
          </cell>
          <cell r="BA121">
            <v>167</v>
          </cell>
          <cell r="BB121">
            <v>0</v>
          </cell>
          <cell r="BC121">
            <v>3083011.2296749414</v>
          </cell>
          <cell r="BD121">
            <v>876</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I121">
            <v>0</v>
          </cell>
          <cell r="CJ121">
            <v>16992.951176879946</v>
          </cell>
          <cell r="CK121">
            <v>30365.42</v>
          </cell>
          <cell r="CL121">
            <v>10376.723201434461</v>
          </cell>
          <cell r="CM121">
            <v>57735.094378314403</v>
          </cell>
          <cell r="CN121">
            <v>0</v>
          </cell>
          <cell r="CO121">
            <v>0</v>
          </cell>
          <cell r="CP121">
            <v>0</v>
          </cell>
          <cell r="CQ121">
            <v>19805.004945598415</v>
          </cell>
          <cell r="CR121">
            <v>33782.027592464903</v>
          </cell>
          <cell r="CS121">
            <v>25940.261362379773</v>
          </cell>
          <cell r="CT121">
            <v>79527.293900443095</v>
          </cell>
          <cell r="CU121">
            <v>10196.3617250767</v>
          </cell>
          <cell r="CV121">
            <v>0</v>
          </cell>
          <cell r="CW121">
            <v>10196.3617250767</v>
          </cell>
          <cell r="CX121">
            <v>0</v>
          </cell>
          <cell r="CZ121">
            <v>0</v>
          </cell>
          <cell r="DC121">
            <v>0</v>
          </cell>
          <cell r="DD121">
            <v>396012.15795180411</v>
          </cell>
          <cell r="DE121">
            <v>390908.92234679958</v>
          </cell>
          <cell r="DF121">
            <v>74586.906301162424</v>
          </cell>
          <cell r="DG121">
            <v>427216.55072050309</v>
          </cell>
          <cell r="DH121">
            <v>32318.63275588087</v>
          </cell>
          <cell r="DI121">
            <v>1321043.1700761502</v>
          </cell>
          <cell r="DJ121">
            <v>45826.81</v>
          </cell>
          <cell r="DK121">
            <v>53128</v>
          </cell>
          <cell r="DL121">
            <v>15994.298484057048</v>
          </cell>
          <cell r="DM121">
            <v>349775.30324456643</v>
          </cell>
          <cell r="DN121">
            <v>0</v>
          </cell>
          <cell r="DO121">
            <v>0</v>
          </cell>
          <cell r="DP121">
            <v>0</v>
          </cell>
          <cell r="DQ121">
            <v>464724.41172862344</v>
          </cell>
          <cell r="DR121">
            <v>299230.14711775293</v>
          </cell>
          <cell r="DS121">
            <v>0</v>
          </cell>
          <cell r="DT121">
            <v>13399.965632327978</v>
          </cell>
          <cell r="DU121">
            <v>0</v>
          </cell>
          <cell r="DV121">
            <v>0</v>
          </cell>
          <cell r="DW121">
            <v>0</v>
          </cell>
          <cell r="DX121">
            <v>312630.11275008088</v>
          </cell>
          <cell r="DY121">
            <v>66458.257551594957</v>
          </cell>
          <cell r="DZ121">
            <v>5137.7900553689378</v>
          </cell>
          <cell r="EA121">
            <v>0</v>
          </cell>
          <cell r="EB121">
            <v>71596.047606963897</v>
          </cell>
          <cell r="EE121">
            <v>0</v>
          </cell>
          <cell r="EH121">
            <v>0</v>
          </cell>
          <cell r="EI121">
            <v>2827.5</v>
          </cell>
          <cell r="EK121">
            <v>-168647.36753115282</v>
          </cell>
          <cell r="EL121">
            <v>7198.7159946331112</v>
          </cell>
          <cell r="EM121">
            <v>0</v>
          </cell>
          <cell r="EO121">
            <v>-158621.1515365197</v>
          </cell>
          <cell r="EP121">
            <v>0</v>
          </cell>
          <cell r="EQ121">
            <v>0</v>
          </cell>
          <cell r="ER121">
            <v>5241842.5703040743</v>
          </cell>
          <cell r="ES121">
            <v>106</v>
          </cell>
          <cell r="ET121">
            <v>982</v>
          </cell>
          <cell r="EU121">
            <v>5337.9252243422343</v>
          </cell>
          <cell r="EV121" t="str">
            <v>No Variation Applied</v>
          </cell>
          <cell r="EW121">
            <v>287700</v>
          </cell>
          <cell r="EX121">
            <v>0</v>
          </cell>
          <cell r="EY121">
            <v>0</v>
          </cell>
          <cell r="EZ121">
            <v>1119662.1087118962</v>
          </cell>
        </row>
        <row r="122">
          <cell r="C122" t="str">
            <v>Murray Park Community School</v>
          </cell>
          <cell r="D122">
            <v>5406</v>
          </cell>
          <cell r="F122" t="str">
            <v/>
          </cell>
          <cell r="G122">
            <v>0</v>
          </cell>
          <cell r="H122">
            <v>0</v>
          </cell>
          <cell r="I122">
            <v>0</v>
          </cell>
          <cell r="J122">
            <v>0</v>
          </cell>
          <cell r="L122">
            <v>0</v>
          </cell>
          <cell r="M122">
            <v>0</v>
          </cell>
          <cell r="N122">
            <v>0</v>
          </cell>
          <cell r="S122">
            <v>0</v>
          </cell>
          <cell r="T122">
            <v>0</v>
          </cell>
          <cell r="AW122">
            <v>168</v>
          </cell>
          <cell r="AX122">
            <v>198</v>
          </cell>
          <cell r="AY122">
            <v>187</v>
          </cell>
          <cell r="AZ122">
            <v>214</v>
          </cell>
          <cell r="BA122">
            <v>162</v>
          </cell>
          <cell r="BB122">
            <v>0</v>
          </cell>
          <cell r="BC122">
            <v>3264405.9508682974</v>
          </cell>
          <cell r="BD122">
            <v>929</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I122">
            <v>0</v>
          </cell>
          <cell r="CJ122">
            <v>16075.816337394572</v>
          </cell>
          <cell r="CK122">
            <v>28726.55</v>
          </cell>
          <cell r="CL122">
            <v>10488.300870267092</v>
          </cell>
          <cell r="CM122">
            <v>55290.667207661667</v>
          </cell>
          <cell r="CN122">
            <v>0</v>
          </cell>
          <cell r="CO122">
            <v>0</v>
          </cell>
          <cell r="CP122">
            <v>0</v>
          </cell>
          <cell r="CQ122">
            <v>21328.466864490601</v>
          </cell>
          <cell r="CR122">
            <v>22452.689070601671</v>
          </cell>
          <cell r="CS122">
            <v>18239.246270423278</v>
          </cell>
          <cell r="CT122">
            <v>62020.402205515551</v>
          </cell>
          <cell r="CU122">
            <v>0</v>
          </cell>
          <cell r="CV122">
            <v>0</v>
          </cell>
          <cell r="CW122">
            <v>0</v>
          </cell>
          <cell r="CX122">
            <v>0</v>
          </cell>
          <cell r="CZ122">
            <v>0</v>
          </cell>
          <cell r="DC122">
            <v>0</v>
          </cell>
          <cell r="DD122">
            <v>160079.39815179125</v>
          </cell>
          <cell r="DE122">
            <v>156602.13584860889</v>
          </cell>
          <cell r="DF122">
            <v>49724.604200774949</v>
          </cell>
          <cell r="DG122">
            <v>246464.33295137796</v>
          </cell>
          <cell r="DH122">
            <v>23781.145536977707</v>
          </cell>
          <cell r="DI122">
            <v>636651.61668953067</v>
          </cell>
          <cell r="DJ122">
            <v>27215.42</v>
          </cell>
          <cell r="DK122">
            <v>23358</v>
          </cell>
          <cell r="DL122">
            <v>23541.176456154433</v>
          </cell>
          <cell r="DM122">
            <v>349775.30324456643</v>
          </cell>
          <cell r="DN122">
            <v>0</v>
          </cell>
          <cell r="DO122">
            <v>0</v>
          </cell>
          <cell r="DP122">
            <v>0</v>
          </cell>
          <cell r="DQ122">
            <v>423889.89970072085</v>
          </cell>
          <cell r="DR122">
            <v>0</v>
          </cell>
          <cell r="DS122">
            <v>0</v>
          </cell>
          <cell r="DT122">
            <v>0</v>
          </cell>
          <cell r="DU122">
            <v>0</v>
          </cell>
          <cell r="DV122">
            <v>0</v>
          </cell>
          <cell r="DW122">
            <v>0</v>
          </cell>
          <cell r="DX122">
            <v>0</v>
          </cell>
          <cell r="DY122">
            <v>59942.742105360165</v>
          </cell>
          <cell r="DZ122">
            <v>4860.4958874111435</v>
          </cell>
          <cell r="EA122">
            <v>0</v>
          </cell>
          <cell r="EB122">
            <v>64803.237992771305</v>
          </cell>
          <cell r="EE122">
            <v>0</v>
          </cell>
          <cell r="EH122">
            <v>0</v>
          </cell>
          <cell r="EI122">
            <v>244.75928630136968</v>
          </cell>
          <cell r="EK122">
            <v>0</v>
          </cell>
          <cell r="EL122">
            <v>6180.0373072152761</v>
          </cell>
          <cell r="EM122">
            <v>0</v>
          </cell>
          <cell r="EO122">
            <v>6424.7965935166458</v>
          </cell>
          <cell r="EP122">
            <v>0</v>
          </cell>
          <cell r="EQ122">
            <v>0</v>
          </cell>
          <cell r="ER122">
            <v>4513486.5712580141</v>
          </cell>
          <cell r="ES122">
            <v>0</v>
          </cell>
          <cell r="ET122">
            <v>929</v>
          </cell>
          <cell r="EU122">
            <v>4858.4354911281098</v>
          </cell>
          <cell r="EV122" t="str">
            <v>No Variation Applied</v>
          </cell>
          <cell r="EW122">
            <v>171200</v>
          </cell>
          <cell r="EX122">
            <v>0</v>
          </cell>
          <cell r="EY122">
            <v>0</v>
          </cell>
          <cell r="EZ122">
            <v>639859.82319593255</v>
          </cell>
        </row>
        <row r="123">
          <cell r="C123" t="str">
            <v>Noel-Baker Community School</v>
          </cell>
          <cell r="D123">
            <v>5407</v>
          </cell>
          <cell r="F123" t="str">
            <v/>
          </cell>
          <cell r="G123">
            <v>0</v>
          </cell>
          <cell r="H123">
            <v>0</v>
          </cell>
          <cell r="I123">
            <v>0</v>
          </cell>
          <cell r="J123">
            <v>0</v>
          </cell>
          <cell r="L123">
            <v>0</v>
          </cell>
          <cell r="M123">
            <v>0</v>
          </cell>
          <cell r="N123">
            <v>0</v>
          </cell>
          <cell r="S123">
            <v>0</v>
          </cell>
          <cell r="T123">
            <v>0</v>
          </cell>
          <cell r="AW123">
            <v>208</v>
          </cell>
          <cell r="AX123">
            <v>189</v>
          </cell>
          <cell r="AY123">
            <v>205</v>
          </cell>
          <cell r="AZ123">
            <v>188</v>
          </cell>
          <cell r="BA123">
            <v>210</v>
          </cell>
          <cell r="BB123">
            <v>0</v>
          </cell>
          <cell r="BC123">
            <v>3510771.6379949129</v>
          </cell>
          <cell r="BD123">
            <v>1000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I123">
            <v>0</v>
          </cell>
          <cell r="CJ123">
            <v>19830.877850004497</v>
          </cell>
          <cell r="CK123">
            <v>35436.629999999997</v>
          </cell>
          <cell r="CL123">
            <v>10115.092805551056</v>
          </cell>
          <cell r="CM123">
            <v>65382.60065555555</v>
          </cell>
          <cell r="CN123">
            <v>0</v>
          </cell>
          <cell r="CO123">
            <v>0</v>
          </cell>
          <cell r="CP123">
            <v>0</v>
          </cell>
          <cell r="CQ123">
            <v>10664.233432245301</v>
          </cell>
          <cell r="CR123">
            <v>16479.03784998288</v>
          </cell>
          <cell r="CS123">
            <v>13375.447264977071</v>
          </cell>
          <cell r="CT123">
            <v>40518.718547205252</v>
          </cell>
          <cell r="CU123">
            <v>0</v>
          </cell>
          <cell r="CV123">
            <v>0</v>
          </cell>
          <cell r="CW123">
            <v>0</v>
          </cell>
          <cell r="CX123">
            <v>0</v>
          </cell>
          <cell r="CZ123">
            <v>0</v>
          </cell>
          <cell r="DC123">
            <v>0</v>
          </cell>
          <cell r="DD123">
            <v>264814.64737442433</v>
          </cell>
          <cell r="DE123">
            <v>302979.97555911494</v>
          </cell>
          <cell r="DF123">
            <v>67956.959074392435</v>
          </cell>
          <cell r="DG123">
            <v>364444.08021226159</v>
          </cell>
          <cell r="DH123">
            <v>30492.485640739804</v>
          </cell>
          <cell r="DI123">
            <v>1030688.1478609331</v>
          </cell>
          <cell r="DJ123">
            <v>64348.480000000003</v>
          </cell>
          <cell r="DK123">
            <v>25419</v>
          </cell>
          <cell r="DL123">
            <v>35874.576147641281</v>
          </cell>
          <cell r="DM123">
            <v>349775.30324456643</v>
          </cell>
          <cell r="DN123">
            <v>0</v>
          </cell>
          <cell r="DO123">
            <v>0</v>
          </cell>
          <cell r="DP123">
            <v>0</v>
          </cell>
          <cell r="DQ123">
            <v>475417.3593922077</v>
          </cell>
          <cell r="DR123">
            <v>0</v>
          </cell>
          <cell r="DS123">
            <v>72513</v>
          </cell>
          <cell r="DT123">
            <v>0</v>
          </cell>
          <cell r="DU123">
            <v>8054.133979627346</v>
          </cell>
          <cell r="DV123">
            <v>0</v>
          </cell>
          <cell r="DW123">
            <v>0</v>
          </cell>
          <cell r="DX123">
            <v>80567.133979627339</v>
          </cell>
          <cell r="DY123">
            <v>71670.6699085828</v>
          </cell>
          <cell r="DZ123">
            <v>5995.8323864081494</v>
          </cell>
          <cell r="EA123">
            <v>0</v>
          </cell>
          <cell r="EB123">
            <v>77666.502294990947</v>
          </cell>
          <cell r="EE123">
            <v>0</v>
          </cell>
          <cell r="EH123">
            <v>0</v>
          </cell>
          <cell r="EI123">
            <v>0</v>
          </cell>
          <cell r="EK123">
            <v>-152045.94795780143</v>
          </cell>
          <cell r="EL123">
            <v>9339.6839352030838</v>
          </cell>
          <cell r="EM123">
            <v>0</v>
          </cell>
          <cell r="EO123">
            <v>-142706.26402259833</v>
          </cell>
          <cell r="EP123">
            <v>0</v>
          </cell>
          <cell r="EQ123">
            <v>0</v>
          </cell>
          <cell r="ER123">
            <v>5138305.8367028348</v>
          </cell>
          <cell r="ES123">
            <v>146</v>
          </cell>
          <cell r="ET123">
            <v>1146</v>
          </cell>
          <cell r="EU123">
            <v>4483.6874665818805</v>
          </cell>
          <cell r="EV123" t="str">
            <v>No Variation Applied</v>
          </cell>
          <cell r="EW123">
            <v>227200</v>
          </cell>
          <cell r="EX123">
            <v>0</v>
          </cell>
          <cell r="EY123">
            <v>0</v>
          </cell>
          <cell r="EZ123">
            <v>895709.48182899482</v>
          </cell>
        </row>
        <row r="125">
          <cell r="A125" t="str">
            <v>Middle Deemed Secondary Schools</v>
          </cell>
        </row>
        <row r="126">
          <cell r="L126">
            <v>0</v>
          </cell>
          <cell r="M126">
            <v>0</v>
          </cell>
          <cell r="N126">
            <v>0</v>
          </cell>
          <cell r="S126">
            <v>0</v>
          </cell>
          <cell r="T126">
            <v>0</v>
          </cell>
          <cell r="BC126">
            <v>0</v>
          </cell>
          <cell r="BD126">
            <v>0</v>
          </cell>
          <cell r="CE126">
            <v>0</v>
          </cell>
          <cell r="CM126">
            <v>0</v>
          </cell>
          <cell r="CP126">
            <v>0</v>
          </cell>
          <cell r="CT126">
            <v>0</v>
          </cell>
          <cell r="CW126">
            <v>0</v>
          </cell>
          <cell r="CZ126">
            <v>0</v>
          </cell>
          <cell r="DC126">
            <v>0</v>
          </cell>
          <cell r="DI126">
            <v>0</v>
          </cell>
          <cell r="DQ126">
            <v>0</v>
          </cell>
          <cell r="DX126">
            <v>0</v>
          </cell>
          <cell r="EB126">
            <v>0</v>
          </cell>
          <cell r="EE126">
            <v>0</v>
          </cell>
          <cell r="EH126">
            <v>0</v>
          </cell>
          <cell r="EO126">
            <v>0</v>
          </cell>
          <cell r="EQ126">
            <v>0</v>
          </cell>
          <cell r="ER126">
            <v>0</v>
          </cell>
          <cell r="ET126">
            <v>0</v>
          </cell>
          <cell r="EU126">
            <v>0</v>
          </cell>
        </row>
        <row r="128">
          <cell r="B128" t="str">
            <v>Total/average Secondary Schools</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AM128">
            <v>0</v>
          </cell>
          <cell r="AN128">
            <v>0</v>
          </cell>
          <cell r="AO128">
            <v>0</v>
          </cell>
          <cell r="AP128">
            <v>0</v>
          </cell>
          <cell r="AQ128">
            <v>0</v>
          </cell>
          <cell r="AR128">
            <v>0</v>
          </cell>
          <cell r="AS128">
            <v>0</v>
          </cell>
          <cell r="AT128">
            <v>0</v>
          </cell>
          <cell r="AU128">
            <v>0</v>
          </cell>
          <cell r="AV128">
            <v>0</v>
          </cell>
          <cell r="AW128">
            <v>1689</v>
          </cell>
          <cell r="AX128">
            <v>1808</v>
          </cell>
          <cell r="AY128">
            <v>1784</v>
          </cell>
          <cell r="AZ128">
            <v>1835</v>
          </cell>
          <cell r="BA128">
            <v>1592</v>
          </cell>
          <cell r="BB128">
            <v>0</v>
          </cell>
          <cell r="BC128">
            <v>30553832.235700458</v>
          </cell>
          <cell r="BD128">
            <v>8708</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52899.645364279015</v>
          </cell>
          <cell r="CK128">
            <v>297717.14999999997</v>
          </cell>
          <cell r="CL128">
            <v>103669.4412413735</v>
          </cell>
          <cell r="CM128">
            <v>454286.23660565249</v>
          </cell>
          <cell r="CN128">
            <v>0</v>
          </cell>
          <cell r="CO128">
            <v>0</v>
          </cell>
          <cell r="CP128">
            <v>0</v>
          </cell>
          <cell r="CQ128">
            <v>190432.73986152321</v>
          </cell>
          <cell r="CR128">
            <v>519707.65619383508</v>
          </cell>
          <cell r="CS128">
            <v>431864.82002524455</v>
          </cell>
          <cell r="CT128">
            <v>1142005.2160806027</v>
          </cell>
          <cell r="CU128">
            <v>141777.98208201892</v>
          </cell>
          <cell r="CV128">
            <v>0</v>
          </cell>
          <cell r="CW128">
            <v>141777.98208201892</v>
          </cell>
          <cell r="CX128">
            <v>985381.26657507801</v>
          </cell>
          <cell r="CY128">
            <v>0</v>
          </cell>
          <cell r="CZ128">
            <v>985381.26657507801</v>
          </cell>
          <cell r="DA128">
            <v>0</v>
          </cell>
          <cell r="DB128">
            <v>0</v>
          </cell>
          <cell r="DC128">
            <v>0</v>
          </cell>
          <cell r="DD128">
            <v>2413890.8093663258</v>
          </cell>
          <cell r="DE128">
            <v>2461499.2952482649</v>
          </cell>
          <cell r="DF128">
            <v>518793.37049475207</v>
          </cell>
          <cell r="DG128">
            <v>2907199.1183558581</v>
          </cell>
          <cell r="DH128">
            <v>258568.94297647552</v>
          </cell>
          <cell r="DI128">
            <v>8559951.5364416763</v>
          </cell>
          <cell r="DJ128">
            <v>137390.71</v>
          </cell>
          <cell r="DK128">
            <v>305715</v>
          </cell>
          <cell r="DL128">
            <v>274385.58824652637</v>
          </cell>
          <cell r="DM128">
            <v>3147977.7292010984</v>
          </cell>
          <cell r="DN128">
            <v>0</v>
          </cell>
          <cell r="DO128">
            <v>0</v>
          </cell>
          <cell r="DP128">
            <v>0</v>
          </cell>
          <cell r="DQ128">
            <v>3865469.0274476237</v>
          </cell>
          <cell r="DR128">
            <v>318751.04441283992</v>
          </cell>
          <cell r="DS128">
            <v>72513</v>
          </cell>
          <cell r="DT128">
            <v>19831.264670172619</v>
          </cell>
          <cell r="DU128">
            <v>27384.055530732978</v>
          </cell>
          <cell r="DV128">
            <v>0</v>
          </cell>
          <cell r="DW128">
            <v>0</v>
          </cell>
          <cell r="DX128">
            <v>438479.36461374548</v>
          </cell>
          <cell r="DY128">
            <v>470420.21521815262</v>
          </cell>
          <cell r="DZ128">
            <v>42384.151974077147</v>
          </cell>
          <cell r="EA128">
            <v>76581.653144108001</v>
          </cell>
          <cell r="EB128">
            <v>589386.02033633774</v>
          </cell>
          <cell r="EC128">
            <v>0</v>
          </cell>
          <cell r="ED128">
            <v>0</v>
          </cell>
          <cell r="EE128">
            <v>0</v>
          </cell>
          <cell r="EF128">
            <v>0</v>
          </cell>
          <cell r="EG128">
            <v>0</v>
          </cell>
          <cell r="EH128">
            <v>0</v>
          </cell>
          <cell r="EI128">
            <v>57327.394735136986</v>
          </cell>
          <cell r="EJ128">
            <v>0</v>
          </cell>
          <cell r="EK128">
            <v>-865270.7348074466</v>
          </cell>
          <cell r="EL128">
            <v>182227</v>
          </cell>
          <cell r="EM128">
            <v>13121</v>
          </cell>
          <cell r="EN128">
            <v>0</v>
          </cell>
          <cell r="EO128">
            <v>-612595.3400723096</v>
          </cell>
          <cell r="EP128">
            <v>172550.63467090158</v>
          </cell>
          <cell r="EQ128">
            <v>0</v>
          </cell>
          <cell r="ER128">
            <v>46290524.180481784</v>
          </cell>
          <cell r="ES128">
            <v>920</v>
          </cell>
          <cell r="ET128">
            <v>9628</v>
          </cell>
          <cell r="EU128">
            <v>4807.9065413878052</v>
          </cell>
          <cell r="EW128">
            <v>1887600</v>
          </cell>
          <cell r="EX128">
            <v>0</v>
          </cell>
          <cell r="EY128">
            <v>0</v>
          </cell>
          <cell r="EZ128">
            <v>8987442.5918243062</v>
          </cell>
        </row>
        <row r="130">
          <cell r="A130" t="str">
            <v>Special Schools</v>
          </cell>
        </row>
        <row r="131">
          <cell r="C131" t="str">
            <v>St Martins School</v>
          </cell>
          <cell r="D131">
            <v>7021</v>
          </cell>
          <cell r="F131" t="str">
            <v/>
          </cell>
          <cell r="G131">
            <v>0</v>
          </cell>
          <cell r="H131">
            <v>0</v>
          </cell>
          <cell r="I131">
            <v>0</v>
          </cell>
          <cell r="J131">
            <v>0</v>
          </cell>
          <cell r="L131">
            <v>0</v>
          </cell>
          <cell r="M131">
            <v>0</v>
          </cell>
          <cell r="N131">
            <v>0</v>
          </cell>
          <cell r="S131">
            <v>0</v>
          </cell>
          <cell r="T131">
            <v>0</v>
          </cell>
          <cell r="BE131">
            <v>0</v>
          </cell>
          <cell r="BF131">
            <v>0</v>
          </cell>
          <cell r="BG131">
            <v>21</v>
          </cell>
          <cell r="BH131">
            <v>0</v>
          </cell>
          <cell r="BI131">
            <v>0</v>
          </cell>
          <cell r="BJ131">
            <v>40</v>
          </cell>
          <cell r="BK131">
            <v>0</v>
          </cell>
          <cell r="BL131">
            <v>0</v>
          </cell>
          <cell r="BM131">
            <v>28</v>
          </cell>
          <cell r="BN131">
            <v>0</v>
          </cell>
          <cell r="BO131">
            <v>0</v>
          </cell>
          <cell r="BP131">
            <v>1294926.0161516273</v>
          </cell>
          <cell r="BQ131">
            <v>89</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I131">
            <v>35897</v>
          </cell>
          <cell r="CJ131">
            <v>0</v>
          </cell>
          <cell r="CK131">
            <v>0</v>
          </cell>
          <cell r="CL131">
            <v>473</v>
          </cell>
          <cell r="CM131">
            <v>36370</v>
          </cell>
          <cell r="CN131">
            <v>0</v>
          </cell>
          <cell r="CO131">
            <v>0</v>
          </cell>
          <cell r="CP131">
            <v>0</v>
          </cell>
          <cell r="CQ131">
            <v>0</v>
          </cell>
          <cell r="CR131">
            <v>0</v>
          </cell>
          <cell r="CS131">
            <v>0</v>
          </cell>
          <cell r="CT131">
            <v>0</v>
          </cell>
          <cell r="CU131">
            <v>0</v>
          </cell>
          <cell r="CV131">
            <v>0</v>
          </cell>
          <cell r="CW131">
            <v>0</v>
          </cell>
          <cell r="CX131">
            <v>0</v>
          </cell>
          <cell r="CZ131">
            <v>0</v>
          </cell>
          <cell r="DC131">
            <v>0</v>
          </cell>
          <cell r="DD131">
            <v>0</v>
          </cell>
          <cell r="DE131">
            <v>0</v>
          </cell>
          <cell r="DF131">
            <v>0</v>
          </cell>
          <cell r="DG131">
            <v>0</v>
          </cell>
          <cell r="DH131">
            <v>0</v>
          </cell>
          <cell r="DI131">
            <v>0</v>
          </cell>
          <cell r="DJ131">
            <v>0</v>
          </cell>
          <cell r="DK131">
            <v>0</v>
          </cell>
          <cell r="DL131">
            <v>7008</v>
          </cell>
          <cell r="DM131">
            <v>231249</v>
          </cell>
          <cell r="DN131">
            <v>0</v>
          </cell>
          <cell r="DO131">
            <v>65699</v>
          </cell>
          <cell r="DP131">
            <v>969</v>
          </cell>
          <cell r="DQ131">
            <v>304925</v>
          </cell>
          <cell r="DR131">
            <v>0</v>
          </cell>
          <cell r="DS131">
            <v>11863</v>
          </cell>
          <cell r="DT131">
            <v>0</v>
          </cell>
          <cell r="DU131">
            <v>0</v>
          </cell>
          <cell r="DV131">
            <v>0</v>
          </cell>
          <cell r="DW131">
            <v>0</v>
          </cell>
          <cell r="DX131">
            <v>11863</v>
          </cell>
          <cell r="DY131">
            <v>0</v>
          </cell>
          <cell r="DZ131">
            <v>0</v>
          </cell>
          <cell r="EA131">
            <v>0</v>
          </cell>
          <cell r="EB131">
            <v>0</v>
          </cell>
          <cell r="EE131">
            <v>0</v>
          </cell>
          <cell r="EH131">
            <v>0</v>
          </cell>
          <cell r="EI131">
            <v>0</v>
          </cell>
          <cell r="EK131">
            <v>0</v>
          </cell>
          <cell r="EL131">
            <v>0</v>
          </cell>
          <cell r="EM131">
            <v>23473</v>
          </cell>
          <cell r="EO131">
            <v>23473</v>
          </cell>
          <cell r="EP131">
            <v>0</v>
          </cell>
          <cell r="EQ131">
            <v>0</v>
          </cell>
          <cell r="ER131">
            <v>1671557.0161516273</v>
          </cell>
          <cell r="ES131">
            <v>0</v>
          </cell>
          <cell r="ET131">
            <v>89</v>
          </cell>
          <cell r="EU131">
            <v>18781.539507321653</v>
          </cell>
          <cell r="EV131" t="str">
            <v>No Variation Applied</v>
          </cell>
          <cell r="EW131">
            <v>32650</v>
          </cell>
          <cell r="EX131">
            <v>0</v>
          </cell>
          <cell r="EY131">
            <v>0</v>
          </cell>
          <cell r="EZ131">
            <v>0</v>
          </cell>
        </row>
        <row r="132">
          <cell r="C132" t="str">
            <v>St Giles' School</v>
          </cell>
          <cell r="D132">
            <v>7024</v>
          </cell>
          <cell r="F132" t="str">
            <v/>
          </cell>
          <cell r="G132">
            <v>0</v>
          </cell>
          <cell r="H132">
            <v>0</v>
          </cell>
          <cell r="I132">
            <v>0</v>
          </cell>
          <cell r="J132">
            <v>0</v>
          </cell>
          <cell r="L132">
            <v>0</v>
          </cell>
          <cell r="M132">
            <v>0</v>
          </cell>
          <cell r="N132">
            <v>0</v>
          </cell>
          <cell r="S132">
            <v>0</v>
          </cell>
          <cell r="T132">
            <v>0</v>
          </cell>
          <cell r="BE132">
            <v>0</v>
          </cell>
          <cell r="BF132">
            <v>2</v>
          </cell>
          <cell r="BG132">
            <v>0</v>
          </cell>
          <cell r="BH132">
            <v>21</v>
          </cell>
          <cell r="BI132">
            <v>32</v>
          </cell>
          <cell r="BJ132">
            <v>0</v>
          </cell>
          <cell r="BK132">
            <v>8</v>
          </cell>
          <cell r="BL132">
            <v>29</v>
          </cell>
          <cell r="BM132">
            <v>0</v>
          </cell>
          <cell r="BN132">
            <v>0</v>
          </cell>
          <cell r="BO132">
            <v>0</v>
          </cell>
          <cell r="BP132">
            <v>1355146.2251628153</v>
          </cell>
          <cell r="BQ132">
            <v>92</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I132">
            <v>30579</v>
          </cell>
          <cell r="CJ132">
            <v>0</v>
          </cell>
          <cell r="CK132">
            <v>0</v>
          </cell>
          <cell r="CL132">
            <v>965</v>
          </cell>
          <cell r="CM132">
            <v>31544</v>
          </cell>
          <cell r="CN132">
            <v>0</v>
          </cell>
          <cell r="CO132">
            <v>0</v>
          </cell>
          <cell r="CP132">
            <v>0</v>
          </cell>
          <cell r="CQ132">
            <v>0</v>
          </cell>
          <cell r="CR132">
            <v>0</v>
          </cell>
          <cell r="CS132">
            <v>0</v>
          </cell>
          <cell r="CT132">
            <v>0</v>
          </cell>
          <cell r="CU132">
            <v>0</v>
          </cell>
          <cell r="CV132">
            <v>0</v>
          </cell>
          <cell r="CW132">
            <v>0</v>
          </cell>
          <cell r="CX132">
            <v>0</v>
          </cell>
          <cell r="CZ132">
            <v>0</v>
          </cell>
          <cell r="DC132">
            <v>0</v>
          </cell>
          <cell r="DD132">
            <v>0</v>
          </cell>
          <cell r="DE132">
            <v>0</v>
          </cell>
          <cell r="DF132">
            <v>0</v>
          </cell>
          <cell r="DG132">
            <v>0</v>
          </cell>
          <cell r="DH132">
            <v>0</v>
          </cell>
          <cell r="DI132">
            <v>0</v>
          </cell>
          <cell r="DJ132">
            <v>0</v>
          </cell>
          <cell r="DK132">
            <v>0</v>
          </cell>
          <cell r="DL132">
            <v>4447</v>
          </cell>
          <cell r="DM132">
            <v>230223</v>
          </cell>
          <cell r="DN132">
            <v>0</v>
          </cell>
          <cell r="DO132">
            <v>62536</v>
          </cell>
          <cell r="DP132">
            <v>1088</v>
          </cell>
          <cell r="DQ132">
            <v>298294</v>
          </cell>
          <cell r="DR132">
            <v>0</v>
          </cell>
          <cell r="DS132">
            <v>0</v>
          </cell>
          <cell r="DT132">
            <v>0</v>
          </cell>
          <cell r="DU132">
            <v>0</v>
          </cell>
          <cell r="DV132">
            <v>0</v>
          </cell>
          <cell r="DW132">
            <v>24896</v>
          </cell>
          <cell r="DX132">
            <v>24896</v>
          </cell>
          <cell r="DY132">
            <v>0</v>
          </cell>
          <cell r="DZ132">
            <v>0</v>
          </cell>
          <cell r="EA132">
            <v>0</v>
          </cell>
          <cell r="EB132">
            <v>0</v>
          </cell>
          <cell r="EE132">
            <v>0</v>
          </cell>
          <cell r="EH132">
            <v>0</v>
          </cell>
          <cell r="EI132">
            <v>2695.4603999999999</v>
          </cell>
          <cell r="EK132">
            <v>0</v>
          </cell>
          <cell r="EL132">
            <v>0</v>
          </cell>
          <cell r="EM132">
            <v>51251</v>
          </cell>
          <cell r="EO132">
            <v>53946.460399999996</v>
          </cell>
          <cell r="EP132">
            <v>0</v>
          </cell>
          <cell r="EQ132">
            <v>0</v>
          </cell>
          <cell r="ER132">
            <v>1763826.6855628153</v>
          </cell>
          <cell r="ES132">
            <v>0</v>
          </cell>
          <cell r="ET132">
            <v>92</v>
          </cell>
          <cell r="EU132">
            <v>19172.029190900164</v>
          </cell>
          <cell r="EV132" t="str">
            <v>No Variation Applied</v>
          </cell>
          <cell r="EW132">
            <v>31250</v>
          </cell>
          <cell r="EX132">
            <v>0</v>
          </cell>
          <cell r="EY132">
            <v>0</v>
          </cell>
          <cell r="EZ132">
            <v>0</v>
          </cell>
        </row>
        <row r="133">
          <cell r="C133" t="str">
            <v>St Clare's School</v>
          </cell>
          <cell r="D133">
            <v>7025</v>
          </cell>
          <cell r="F133" t="str">
            <v/>
          </cell>
          <cell r="G133">
            <v>0</v>
          </cell>
          <cell r="H133">
            <v>0</v>
          </cell>
          <cell r="I133">
            <v>0</v>
          </cell>
          <cell r="J133">
            <v>0</v>
          </cell>
          <cell r="L133">
            <v>0</v>
          </cell>
          <cell r="M133">
            <v>0</v>
          </cell>
          <cell r="N133">
            <v>0</v>
          </cell>
          <cell r="S133">
            <v>0</v>
          </cell>
          <cell r="T133">
            <v>0</v>
          </cell>
          <cell r="BE133">
            <v>16</v>
          </cell>
          <cell r="BF133">
            <v>0</v>
          </cell>
          <cell r="BG133">
            <v>62</v>
          </cell>
          <cell r="BH133">
            <v>0</v>
          </cell>
          <cell r="BI133">
            <v>0</v>
          </cell>
          <cell r="BJ133">
            <v>20</v>
          </cell>
          <cell r="BK133">
            <v>0</v>
          </cell>
          <cell r="BL133">
            <v>0</v>
          </cell>
          <cell r="BM133">
            <v>1</v>
          </cell>
          <cell r="BN133">
            <v>0</v>
          </cell>
          <cell r="BO133">
            <v>0</v>
          </cell>
          <cell r="BP133">
            <v>1140584.8458081461</v>
          </cell>
          <cell r="BQ133">
            <v>99</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I133">
            <v>27920</v>
          </cell>
          <cell r="CJ133">
            <v>0</v>
          </cell>
          <cell r="CK133">
            <v>0</v>
          </cell>
          <cell r="CL133">
            <v>1190</v>
          </cell>
          <cell r="CM133">
            <v>29110</v>
          </cell>
          <cell r="CN133">
            <v>0</v>
          </cell>
          <cell r="CO133">
            <v>0</v>
          </cell>
          <cell r="CP133">
            <v>0</v>
          </cell>
          <cell r="CQ133">
            <v>0</v>
          </cell>
          <cell r="CR133">
            <v>0</v>
          </cell>
          <cell r="CS133">
            <v>0</v>
          </cell>
          <cell r="CT133">
            <v>0</v>
          </cell>
          <cell r="CU133">
            <v>0</v>
          </cell>
          <cell r="CV133">
            <v>0</v>
          </cell>
          <cell r="CW133">
            <v>0</v>
          </cell>
          <cell r="CX133">
            <v>0</v>
          </cell>
          <cell r="CZ133">
            <v>0</v>
          </cell>
          <cell r="DC133">
            <v>0</v>
          </cell>
          <cell r="DD133">
            <v>0</v>
          </cell>
          <cell r="DE133">
            <v>0</v>
          </cell>
          <cell r="DF133">
            <v>0</v>
          </cell>
          <cell r="DG133">
            <v>0</v>
          </cell>
          <cell r="DH133">
            <v>0</v>
          </cell>
          <cell r="DI133">
            <v>0</v>
          </cell>
          <cell r="DJ133">
            <v>0</v>
          </cell>
          <cell r="DK133">
            <v>0</v>
          </cell>
          <cell r="DL133">
            <v>3859</v>
          </cell>
          <cell r="DM133">
            <v>231249</v>
          </cell>
          <cell r="DN133">
            <v>0</v>
          </cell>
          <cell r="DO133">
            <v>54271</v>
          </cell>
          <cell r="DP133">
            <v>1452</v>
          </cell>
          <cell r="DQ133">
            <v>290831</v>
          </cell>
          <cell r="DR133">
            <v>0</v>
          </cell>
          <cell r="DS133">
            <v>0</v>
          </cell>
          <cell r="DT133">
            <v>0</v>
          </cell>
          <cell r="DU133">
            <v>0</v>
          </cell>
          <cell r="DV133">
            <v>0</v>
          </cell>
          <cell r="DW133">
            <v>0</v>
          </cell>
          <cell r="DX133">
            <v>0</v>
          </cell>
          <cell r="DY133">
            <v>0</v>
          </cell>
          <cell r="DZ133">
            <v>0</v>
          </cell>
          <cell r="EA133">
            <v>0</v>
          </cell>
          <cell r="EB133">
            <v>0</v>
          </cell>
          <cell r="EE133">
            <v>0</v>
          </cell>
          <cell r="EH133">
            <v>0</v>
          </cell>
          <cell r="EI133">
            <v>0</v>
          </cell>
          <cell r="EK133">
            <v>0</v>
          </cell>
          <cell r="EL133">
            <v>0</v>
          </cell>
          <cell r="EM133">
            <v>21275</v>
          </cell>
          <cell r="EO133">
            <v>21275</v>
          </cell>
          <cell r="EP133">
            <v>0</v>
          </cell>
          <cell r="EQ133">
            <v>0</v>
          </cell>
          <cell r="ER133">
            <v>1481800.8458081461</v>
          </cell>
          <cell r="ES133">
            <v>0</v>
          </cell>
          <cell r="ET133">
            <v>99</v>
          </cell>
          <cell r="EU133">
            <v>14967.685311193394</v>
          </cell>
          <cell r="EV133" t="str">
            <v>No Variation Applied</v>
          </cell>
          <cell r="EW133">
            <v>32900</v>
          </cell>
          <cell r="EX133">
            <v>0</v>
          </cell>
          <cell r="EY133">
            <v>0</v>
          </cell>
          <cell r="EZ133">
            <v>0</v>
          </cell>
        </row>
        <row r="134">
          <cell r="C134" t="str">
            <v>Ivy House School</v>
          </cell>
          <cell r="D134">
            <v>7026</v>
          </cell>
          <cell r="F134" t="str">
            <v/>
          </cell>
          <cell r="G134">
            <v>0</v>
          </cell>
          <cell r="H134">
            <v>0</v>
          </cell>
          <cell r="I134">
            <v>0</v>
          </cell>
          <cell r="J134">
            <v>0</v>
          </cell>
          <cell r="L134">
            <v>0</v>
          </cell>
          <cell r="M134">
            <v>0</v>
          </cell>
          <cell r="N134">
            <v>0</v>
          </cell>
          <cell r="S134">
            <v>0</v>
          </cell>
          <cell r="T134">
            <v>0</v>
          </cell>
          <cell r="BE134">
            <v>0</v>
          </cell>
          <cell r="BF134">
            <v>0</v>
          </cell>
          <cell r="BG134">
            <v>0</v>
          </cell>
          <cell r="BH134">
            <v>2</v>
          </cell>
          <cell r="BI134">
            <v>4</v>
          </cell>
          <cell r="BJ134">
            <v>4</v>
          </cell>
          <cell r="BK134">
            <v>23</v>
          </cell>
          <cell r="BL134">
            <v>16</v>
          </cell>
          <cell r="BM134">
            <v>36</v>
          </cell>
          <cell r="BN134">
            <v>0</v>
          </cell>
          <cell r="BO134">
            <v>0</v>
          </cell>
          <cell r="BP134">
            <v>1481494.503795797</v>
          </cell>
          <cell r="BQ134">
            <v>85</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I134">
            <v>16397</v>
          </cell>
          <cell r="CJ134">
            <v>0</v>
          </cell>
          <cell r="CK134">
            <v>0</v>
          </cell>
          <cell r="CL134">
            <v>1116</v>
          </cell>
          <cell r="CM134">
            <v>17513</v>
          </cell>
          <cell r="CN134">
            <v>0</v>
          </cell>
          <cell r="CO134">
            <v>0</v>
          </cell>
          <cell r="CP134">
            <v>0</v>
          </cell>
          <cell r="CQ134">
            <v>0</v>
          </cell>
          <cell r="CR134">
            <v>0</v>
          </cell>
          <cell r="CS134">
            <v>0</v>
          </cell>
          <cell r="CT134">
            <v>0</v>
          </cell>
          <cell r="CU134">
            <v>0</v>
          </cell>
          <cell r="CV134">
            <v>0</v>
          </cell>
          <cell r="CW134">
            <v>0</v>
          </cell>
          <cell r="CX134">
            <v>0</v>
          </cell>
          <cell r="CZ134">
            <v>0</v>
          </cell>
          <cell r="DC134">
            <v>0</v>
          </cell>
          <cell r="DD134">
            <v>0</v>
          </cell>
          <cell r="DE134">
            <v>0</v>
          </cell>
          <cell r="DF134">
            <v>0</v>
          </cell>
          <cell r="DG134">
            <v>0</v>
          </cell>
          <cell r="DH134">
            <v>0</v>
          </cell>
          <cell r="DI134">
            <v>0</v>
          </cell>
          <cell r="DJ134">
            <v>0</v>
          </cell>
          <cell r="DK134">
            <v>0</v>
          </cell>
          <cell r="DL134">
            <v>4809</v>
          </cell>
          <cell r="DM134">
            <v>255712</v>
          </cell>
          <cell r="DN134">
            <v>0</v>
          </cell>
          <cell r="DO134">
            <v>135253</v>
          </cell>
          <cell r="DP134">
            <v>430</v>
          </cell>
          <cell r="DQ134">
            <v>396204</v>
          </cell>
          <cell r="DR134">
            <v>0</v>
          </cell>
          <cell r="DS134">
            <v>0</v>
          </cell>
          <cell r="DT134">
            <v>0</v>
          </cell>
          <cell r="DU134">
            <v>0</v>
          </cell>
          <cell r="DV134">
            <v>143000</v>
          </cell>
          <cell r="DW134">
            <v>62240</v>
          </cell>
          <cell r="DX134">
            <v>205240</v>
          </cell>
          <cell r="DY134">
            <v>0</v>
          </cell>
          <cell r="DZ134">
            <v>0</v>
          </cell>
          <cell r="EA134">
            <v>0</v>
          </cell>
          <cell r="EB134">
            <v>0</v>
          </cell>
          <cell r="EE134">
            <v>0</v>
          </cell>
          <cell r="EH134">
            <v>0</v>
          </cell>
          <cell r="EI134">
            <v>0</v>
          </cell>
          <cell r="EK134">
            <v>0</v>
          </cell>
          <cell r="EL134">
            <v>0</v>
          </cell>
          <cell r="EM134">
            <v>12941</v>
          </cell>
          <cell r="EO134">
            <v>12941</v>
          </cell>
          <cell r="EP134">
            <v>0</v>
          </cell>
          <cell r="EQ134">
            <v>0</v>
          </cell>
          <cell r="ER134">
            <v>2113392.503795797</v>
          </cell>
          <cell r="ES134">
            <v>0</v>
          </cell>
          <cell r="ET134">
            <v>85</v>
          </cell>
          <cell r="EU134">
            <v>24863.441221127025</v>
          </cell>
          <cell r="EV134" t="str">
            <v>No Variation Applied</v>
          </cell>
          <cell r="EW134">
            <v>10800</v>
          </cell>
          <cell r="EX134">
            <v>0</v>
          </cell>
          <cell r="EY134">
            <v>0</v>
          </cell>
          <cell r="EZ134">
            <v>0</v>
          </cell>
        </row>
        <row r="135">
          <cell r="C135" t="str">
            <v>St Andrew's School</v>
          </cell>
          <cell r="D135">
            <v>7027</v>
          </cell>
          <cell r="F135" t="str">
            <v/>
          </cell>
          <cell r="G135">
            <v>0</v>
          </cell>
          <cell r="H135">
            <v>0</v>
          </cell>
          <cell r="I135">
            <v>0</v>
          </cell>
          <cell r="J135">
            <v>0</v>
          </cell>
          <cell r="L135">
            <v>0</v>
          </cell>
          <cell r="M135">
            <v>0</v>
          </cell>
          <cell r="N135">
            <v>0</v>
          </cell>
          <cell r="S135">
            <v>0</v>
          </cell>
          <cell r="T135">
            <v>0</v>
          </cell>
          <cell r="BE135">
            <v>0</v>
          </cell>
          <cell r="BF135">
            <v>0</v>
          </cell>
          <cell r="BG135">
            <v>6</v>
          </cell>
          <cell r="BH135">
            <v>0</v>
          </cell>
          <cell r="BI135">
            <v>0</v>
          </cell>
          <cell r="BJ135">
            <v>54</v>
          </cell>
          <cell r="BK135">
            <v>0</v>
          </cell>
          <cell r="BL135">
            <v>0</v>
          </cell>
          <cell r="BM135">
            <v>34</v>
          </cell>
          <cell r="BN135">
            <v>17</v>
          </cell>
          <cell r="BO135">
            <v>7</v>
          </cell>
          <cell r="BP135">
            <v>1641880.3754284366</v>
          </cell>
          <cell r="BQ135">
            <v>118</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I135">
            <v>13960</v>
          </cell>
          <cell r="CJ135">
            <v>0</v>
          </cell>
          <cell r="CK135">
            <v>0</v>
          </cell>
          <cell r="CL135">
            <v>1034</v>
          </cell>
          <cell r="CM135">
            <v>14994</v>
          </cell>
          <cell r="CN135">
            <v>0</v>
          </cell>
          <cell r="CO135">
            <v>0</v>
          </cell>
          <cell r="CP135">
            <v>0</v>
          </cell>
          <cell r="CQ135">
            <v>0</v>
          </cell>
          <cell r="CR135">
            <v>0</v>
          </cell>
          <cell r="CS135">
            <v>0</v>
          </cell>
          <cell r="CT135">
            <v>0</v>
          </cell>
          <cell r="CU135">
            <v>0</v>
          </cell>
          <cell r="CV135">
            <v>0</v>
          </cell>
          <cell r="CW135">
            <v>0</v>
          </cell>
          <cell r="CX135">
            <v>0</v>
          </cell>
          <cell r="CZ135">
            <v>0</v>
          </cell>
          <cell r="DC135">
            <v>0</v>
          </cell>
          <cell r="DD135">
            <v>0</v>
          </cell>
          <cell r="DE135">
            <v>0</v>
          </cell>
          <cell r="DF135">
            <v>0</v>
          </cell>
          <cell r="DG135">
            <v>0</v>
          </cell>
          <cell r="DH135">
            <v>0</v>
          </cell>
          <cell r="DI135">
            <v>0</v>
          </cell>
          <cell r="DJ135">
            <v>0</v>
          </cell>
          <cell r="DK135">
            <v>0</v>
          </cell>
          <cell r="DL135">
            <v>6580</v>
          </cell>
          <cell r="DM135">
            <v>291249</v>
          </cell>
          <cell r="DN135">
            <v>144622</v>
          </cell>
          <cell r="DO135">
            <v>138796</v>
          </cell>
          <cell r="DP135">
            <v>768</v>
          </cell>
          <cell r="DQ135">
            <v>582015</v>
          </cell>
          <cell r="DR135">
            <v>0</v>
          </cell>
          <cell r="DS135">
            <v>0</v>
          </cell>
          <cell r="DT135">
            <v>0</v>
          </cell>
          <cell r="DU135">
            <v>0</v>
          </cell>
          <cell r="DV135">
            <v>0</v>
          </cell>
          <cell r="DW135">
            <v>24896</v>
          </cell>
          <cell r="DX135">
            <v>24896</v>
          </cell>
          <cell r="DY135">
            <v>0</v>
          </cell>
          <cell r="DZ135">
            <v>0</v>
          </cell>
          <cell r="EA135">
            <v>0</v>
          </cell>
          <cell r="EB135">
            <v>0</v>
          </cell>
          <cell r="EE135">
            <v>0</v>
          </cell>
          <cell r="EH135">
            <v>0</v>
          </cell>
          <cell r="EI135">
            <v>0</v>
          </cell>
          <cell r="EK135">
            <v>0</v>
          </cell>
          <cell r="EL135">
            <v>0</v>
          </cell>
          <cell r="EM135">
            <v>17888</v>
          </cell>
          <cell r="EO135">
            <v>17888</v>
          </cell>
          <cell r="EP135">
            <v>0</v>
          </cell>
          <cell r="EQ135">
            <v>0</v>
          </cell>
          <cell r="ER135">
            <v>2281673.3754284363</v>
          </cell>
          <cell r="ES135">
            <v>0</v>
          </cell>
          <cell r="ET135">
            <v>118</v>
          </cell>
          <cell r="EU135">
            <v>19336.215046003697</v>
          </cell>
          <cell r="EV135" t="str">
            <v>No Variation Applied</v>
          </cell>
          <cell r="EW135">
            <v>14200</v>
          </cell>
          <cell r="EX135">
            <v>0</v>
          </cell>
          <cell r="EY135">
            <v>0</v>
          </cell>
          <cell r="EZ135">
            <v>0</v>
          </cell>
        </row>
        <row r="136">
          <cell r="C136" t="str">
            <v>Kingsmead School</v>
          </cell>
          <cell r="D136">
            <v>7029</v>
          </cell>
          <cell r="F136" t="str">
            <v/>
          </cell>
          <cell r="G136">
            <v>0</v>
          </cell>
          <cell r="H136">
            <v>0</v>
          </cell>
          <cell r="I136">
            <v>0</v>
          </cell>
          <cell r="J136">
            <v>0</v>
          </cell>
          <cell r="L136">
            <v>0</v>
          </cell>
          <cell r="M136">
            <v>0</v>
          </cell>
          <cell r="N136">
            <v>0</v>
          </cell>
          <cell r="S136">
            <v>0</v>
          </cell>
          <cell r="T136">
            <v>0</v>
          </cell>
          <cell r="BE136">
            <v>0</v>
          </cell>
          <cell r="BF136">
            <v>0</v>
          </cell>
          <cell r="BG136">
            <v>0</v>
          </cell>
          <cell r="BH136">
            <v>0</v>
          </cell>
          <cell r="BI136">
            <v>0</v>
          </cell>
          <cell r="BJ136">
            <v>20</v>
          </cell>
          <cell r="BK136">
            <v>0</v>
          </cell>
          <cell r="BL136">
            <v>0</v>
          </cell>
          <cell r="BM136">
            <v>20</v>
          </cell>
          <cell r="BN136">
            <v>0</v>
          </cell>
          <cell r="BO136">
            <v>0</v>
          </cell>
          <cell r="BP136">
            <v>635871.5455866789</v>
          </cell>
          <cell r="BQ136">
            <v>40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I136">
            <v>10636</v>
          </cell>
          <cell r="CJ136">
            <v>0</v>
          </cell>
          <cell r="CK136">
            <v>0</v>
          </cell>
          <cell r="CL136">
            <v>0</v>
          </cell>
          <cell r="CM136">
            <v>10636</v>
          </cell>
          <cell r="CN136">
            <v>0</v>
          </cell>
          <cell r="CO136">
            <v>0</v>
          </cell>
          <cell r="CP136">
            <v>0</v>
          </cell>
          <cell r="CQ136">
            <v>0</v>
          </cell>
          <cell r="CR136">
            <v>0</v>
          </cell>
          <cell r="CS136">
            <v>0</v>
          </cell>
          <cell r="CT136">
            <v>0</v>
          </cell>
          <cell r="CU136">
            <v>0</v>
          </cell>
          <cell r="CV136">
            <v>0</v>
          </cell>
          <cell r="CW136">
            <v>0</v>
          </cell>
          <cell r="CX136">
            <v>0</v>
          </cell>
          <cell r="CZ136">
            <v>0</v>
          </cell>
          <cell r="DC136">
            <v>0</v>
          </cell>
          <cell r="DD136">
            <v>0</v>
          </cell>
          <cell r="DE136">
            <v>0</v>
          </cell>
          <cell r="DF136">
            <v>0</v>
          </cell>
          <cell r="DG136">
            <v>0</v>
          </cell>
          <cell r="DH136">
            <v>0</v>
          </cell>
          <cell r="DI136">
            <v>0</v>
          </cell>
          <cell r="DJ136">
            <v>0</v>
          </cell>
          <cell r="DK136">
            <v>0</v>
          </cell>
          <cell r="DL136">
            <v>2336</v>
          </cell>
          <cell r="DM136">
            <v>231249</v>
          </cell>
          <cell r="DN136">
            <v>0</v>
          </cell>
          <cell r="DO136">
            <v>119188</v>
          </cell>
          <cell r="DP136">
            <v>196</v>
          </cell>
          <cell r="DQ136">
            <v>352969</v>
          </cell>
          <cell r="DR136">
            <v>0</v>
          </cell>
          <cell r="DS136">
            <v>0</v>
          </cell>
          <cell r="DT136">
            <v>0</v>
          </cell>
          <cell r="DU136">
            <v>0</v>
          </cell>
          <cell r="DV136">
            <v>0</v>
          </cell>
          <cell r="DW136">
            <v>0</v>
          </cell>
          <cell r="DX136">
            <v>0</v>
          </cell>
          <cell r="DY136">
            <v>0</v>
          </cell>
          <cell r="DZ136">
            <v>0</v>
          </cell>
          <cell r="EA136">
            <v>0</v>
          </cell>
          <cell r="EB136">
            <v>0</v>
          </cell>
          <cell r="EE136">
            <v>0</v>
          </cell>
          <cell r="EH136">
            <v>0</v>
          </cell>
          <cell r="EI136">
            <v>0</v>
          </cell>
          <cell r="EK136">
            <v>0</v>
          </cell>
          <cell r="EL136">
            <v>0</v>
          </cell>
          <cell r="EM136">
            <v>1175876.9801444886</v>
          </cell>
          <cell r="EO136">
            <v>1175876.9801444886</v>
          </cell>
          <cell r="EP136">
            <v>0</v>
          </cell>
          <cell r="EQ136">
            <v>0</v>
          </cell>
          <cell r="ER136">
            <v>2175353.5257311678</v>
          </cell>
          <cell r="ES136">
            <v>0</v>
          </cell>
          <cell r="ET136">
            <v>40</v>
          </cell>
          <cell r="EU136">
            <v>54383.838143279194</v>
          </cell>
          <cell r="EV136" t="str">
            <v>No Variation Applied</v>
          </cell>
          <cell r="EW136">
            <v>14050</v>
          </cell>
          <cell r="EX136">
            <v>0</v>
          </cell>
          <cell r="EY136">
            <v>0</v>
          </cell>
          <cell r="EZ136">
            <v>0</v>
          </cell>
        </row>
        <row r="138">
          <cell r="B138" t="str">
            <v>Total/average Special Schools</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BE138">
            <v>16</v>
          </cell>
          <cell r="BF138">
            <v>2</v>
          </cell>
          <cell r="BG138">
            <v>89</v>
          </cell>
          <cell r="BH138">
            <v>23</v>
          </cell>
          <cell r="BI138">
            <v>36</v>
          </cell>
          <cell r="BJ138">
            <v>138</v>
          </cell>
          <cell r="BK138">
            <v>31</v>
          </cell>
          <cell r="BL138">
            <v>45</v>
          </cell>
          <cell r="BM138">
            <v>119</v>
          </cell>
          <cell r="BN138">
            <v>17</v>
          </cell>
          <cell r="BO138">
            <v>7</v>
          </cell>
          <cell r="BP138">
            <v>7549903.5119335018</v>
          </cell>
          <cell r="BQ138">
            <v>523</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135389</v>
          </cell>
          <cell r="CJ138">
            <v>0</v>
          </cell>
          <cell r="CK138">
            <v>0</v>
          </cell>
          <cell r="CL138">
            <v>4778</v>
          </cell>
          <cell r="CM138">
            <v>140167</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29039</v>
          </cell>
          <cell r="DM138">
            <v>1470931</v>
          </cell>
          <cell r="DN138">
            <v>144622</v>
          </cell>
          <cell r="DO138">
            <v>575743</v>
          </cell>
          <cell r="DP138">
            <v>4903</v>
          </cell>
          <cell r="DQ138">
            <v>2225238</v>
          </cell>
          <cell r="DR138">
            <v>0</v>
          </cell>
          <cell r="DS138">
            <v>11863</v>
          </cell>
          <cell r="DT138">
            <v>0</v>
          </cell>
          <cell r="DU138">
            <v>0</v>
          </cell>
          <cell r="DV138">
            <v>143000</v>
          </cell>
          <cell r="DW138">
            <v>112032</v>
          </cell>
          <cell r="DX138">
            <v>266895</v>
          </cell>
          <cell r="DY138">
            <v>0</v>
          </cell>
          <cell r="DZ138">
            <v>0</v>
          </cell>
          <cell r="EA138">
            <v>0</v>
          </cell>
          <cell r="EB138">
            <v>0</v>
          </cell>
          <cell r="EC138">
            <v>0</v>
          </cell>
          <cell r="ED138">
            <v>0</v>
          </cell>
          <cell r="EE138">
            <v>0</v>
          </cell>
          <cell r="EF138">
            <v>0</v>
          </cell>
          <cell r="EG138">
            <v>0</v>
          </cell>
          <cell r="EH138">
            <v>0</v>
          </cell>
          <cell r="EI138">
            <v>2695.4603999999999</v>
          </cell>
          <cell r="EJ138">
            <v>0</v>
          </cell>
          <cell r="EK138">
            <v>0</v>
          </cell>
          <cell r="EL138">
            <v>0</v>
          </cell>
          <cell r="EM138">
            <v>1302704.9801444886</v>
          </cell>
          <cell r="EN138">
            <v>0</v>
          </cell>
          <cell r="EO138">
            <v>1305400.4405444886</v>
          </cell>
          <cell r="EP138">
            <v>0</v>
          </cell>
          <cell r="EQ138">
            <v>0</v>
          </cell>
          <cell r="ER138">
            <v>11487603.95247799</v>
          </cell>
          <cell r="ES138">
            <v>0</v>
          </cell>
          <cell r="ET138">
            <v>523</v>
          </cell>
          <cell r="EU138">
            <v>21964.825912959826</v>
          </cell>
          <cell r="EW138">
            <v>135850</v>
          </cell>
          <cell r="EX138">
            <v>0</v>
          </cell>
          <cell r="EY138">
            <v>0</v>
          </cell>
          <cell r="EZ138">
            <v>0</v>
          </cell>
        </row>
        <row r="140">
          <cell r="B140" t="str">
            <v>Total All Schools</v>
          </cell>
          <cell r="G140">
            <v>310992</v>
          </cell>
          <cell r="H140">
            <v>1151748</v>
          </cell>
          <cell r="I140">
            <v>0</v>
          </cell>
          <cell r="J140">
            <v>0</v>
          </cell>
          <cell r="K140">
            <v>0</v>
          </cell>
          <cell r="L140">
            <v>5923748.0660770079</v>
          </cell>
          <cell r="M140">
            <v>1462740</v>
          </cell>
          <cell r="N140">
            <v>1539.7263157894736</v>
          </cell>
          <cell r="O140">
            <v>0</v>
          </cell>
          <cell r="P140">
            <v>0</v>
          </cell>
          <cell r="Q140">
            <v>0</v>
          </cell>
          <cell r="R140">
            <v>0</v>
          </cell>
          <cell r="S140">
            <v>0</v>
          </cell>
          <cell r="T140">
            <v>0</v>
          </cell>
          <cell r="U140">
            <v>3073</v>
          </cell>
          <cell r="V140">
            <v>0</v>
          </cell>
          <cell r="W140">
            <v>0</v>
          </cell>
          <cell r="X140">
            <v>0</v>
          </cell>
          <cell r="Y140">
            <v>2984</v>
          </cell>
          <cell r="Z140">
            <v>2902</v>
          </cell>
          <cell r="AA140">
            <v>2904</v>
          </cell>
          <cell r="AB140">
            <v>2754</v>
          </cell>
          <cell r="AC140">
            <v>2703</v>
          </cell>
          <cell r="AD140">
            <v>2705</v>
          </cell>
          <cell r="AE140">
            <v>0</v>
          </cell>
          <cell r="AF140">
            <v>0</v>
          </cell>
          <cell r="AG140">
            <v>0</v>
          </cell>
          <cell r="AH140">
            <v>0</v>
          </cell>
          <cell r="AI140">
            <v>0</v>
          </cell>
          <cell r="AJ140">
            <v>0</v>
          </cell>
          <cell r="AK140">
            <v>51787081.491367385</v>
          </cell>
          <cell r="AL140">
            <v>20025</v>
          </cell>
          <cell r="AM140">
            <v>0</v>
          </cell>
          <cell r="AN140">
            <v>0</v>
          </cell>
          <cell r="AO140">
            <v>0</v>
          </cell>
          <cell r="AP140">
            <v>0</v>
          </cell>
          <cell r="AQ140">
            <v>0</v>
          </cell>
          <cell r="AR140">
            <v>0</v>
          </cell>
          <cell r="AS140">
            <v>0</v>
          </cell>
          <cell r="AT140">
            <v>0</v>
          </cell>
          <cell r="AU140">
            <v>0</v>
          </cell>
          <cell r="AV140">
            <v>0</v>
          </cell>
          <cell r="AW140">
            <v>1689</v>
          </cell>
          <cell r="AX140">
            <v>1808</v>
          </cell>
          <cell r="AY140">
            <v>1784</v>
          </cell>
          <cell r="AZ140">
            <v>1835</v>
          </cell>
          <cell r="BA140">
            <v>1592</v>
          </cell>
          <cell r="BB140">
            <v>0</v>
          </cell>
          <cell r="BC140">
            <v>30553832.235700458</v>
          </cell>
          <cell r="BD140">
            <v>8708</v>
          </cell>
          <cell r="BE140">
            <v>16</v>
          </cell>
          <cell r="BF140">
            <v>2</v>
          </cell>
          <cell r="BG140">
            <v>89</v>
          </cell>
          <cell r="BH140">
            <v>23</v>
          </cell>
          <cell r="BI140">
            <v>36</v>
          </cell>
          <cell r="BJ140">
            <v>138</v>
          </cell>
          <cell r="BK140">
            <v>31</v>
          </cell>
          <cell r="BL140">
            <v>45</v>
          </cell>
          <cell r="BM140">
            <v>119</v>
          </cell>
          <cell r="BN140">
            <v>17</v>
          </cell>
          <cell r="BO140">
            <v>7</v>
          </cell>
          <cell r="BP140">
            <v>7549903.5119335018</v>
          </cell>
          <cell r="BQ140">
            <v>523</v>
          </cell>
          <cell r="BS140">
            <v>525700.08639999991</v>
          </cell>
          <cell r="BT140">
            <v>380000</v>
          </cell>
          <cell r="BU140">
            <v>69252.096799999999</v>
          </cell>
          <cell r="BV140">
            <v>18646</v>
          </cell>
          <cell r="BW140">
            <v>32073.469999999998</v>
          </cell>
          <cell r="BX140">
            <v>-34918.406751157832</v>
          </cell>
          <cell r="BY140">
            <v>70626.164628171973</v>
          </cell>
          <cell r="BZ140">
            <v>108415.77839999998</v>
          </cell>
          <cell r="CA140">
            <v>0</v>
          </cell>
          <cell r="CB140">
            <v>168619.43578717971</v>
          </cell>
          <cell r="CC140">
            <v>241368.7043117237</v>
          </cell>
          <cell r="CD140">
            <v>8840.6951250000002</v>
          </cell>
          <cell r="CE140">
            <v>1588624.0247009173</v>
          </cell>
          <cell r="CF140">
            <v>1338156.0566722197</v>
          </cell>
          <cell r="CG140">
            <v>0</v>
          </cell>
          <cell r="CH140">
            <v>0</v>
          </cell>
          <cell r="CI140">
            <v>135389</v>
          </cell>
          <cell r="CJ140">
            <v>77991.075364279008</v>
          </cell>
          <cell r="CK140">
            <v>704164.51000000013</v>
          </cell>
          <cell r="CL140">
            <v>332755.74815123453</v>
          </cell>
          <cell r="CM140">
            <v>2588456.3901877329</v>
          </cell>
          <cell r="CN140">
            <v>0</v>
          </cell>
          <cell r="CO140">
            <v>0</v>
          </cell>
          <cell r="CP140">
            <v>0</v>
          </cell>
          <cell r="CQ140">
            <v>732023.45202769502</v>
          </cell>
          <cell r="CR140">
            <v>1306309.7961938349</v>
          </cell>
          <cell r="CS140">
            <v>1247683.015255877</v>
          </cell>
          <cell r="CT140">
            <v>3286016.2634774065</v>
          </cell>
          <cell r="CU140">
            <v>759243.86929189134</v>
          </cell>
          <cell r="CV140">
            <v>72077.730024498669</v>
          </cell>
          <cell r="CW140">
            <v>831321.59931638977</v>
          </cell>
          <cell r="CX140">
            <v>3338877.434602343</v>
          </cell>
          <cell r="CY140">
            <v>0</v>
          </cell>
          <cell r="CZ140">
            <v>3338877.434602343</v>
          </cell>
          <cell r="DA140">
            <v>0</v>
          </cell>
          <cell r="DB140">
            <v>0</v>
          </cell>
          <cell r="DC140">
            <v>0</v>
          </cell>
          <cell r="DD140">
            <v>9055920.5484434441</v>
          </cell>
          <cell r="DE140">
            <v>8701755.2952482682</v>
          </cell>
          <cell r="DF140">
            <v>1058147.3480889015</v>
          </cell>
          <cell r="DG140">
            <v>2907199.1183558581</v>
          </cell>
          <cell r="DH140">
            <v>258568.94297647552</v>
          </cell>
          <cell r="DI140">
            <v>21981591.253112942</v>
          </cell>
          <cell r="DJ140">
            <v>166226.03999999998</v>
          </cell>
          <cell r="DK140">
            <v>1409617.7400000002</v>
          </cell>
          <cell r="DL140">
            <v>688465.21824652655</v>
          </cell>
          <cell r="DM140">
            <v>9710687.3305611014</v>
          </cell>
          <cell r="DN140">
            <v>144622</v>
          </cell>
          <cell r="DO140">
            <v>575743</v>
          </cell>
          <cell r="DP140">
            <v>4903</v>
          </cell>
          <cell r="DQ140">
            <v>12700264.32880763</v>
          </cell>
          <cell r="DR140">
            <v>587589.42528291629</v>
          </cell>
          <cell r="DS140">
            <v>84376</v>
          </cell>
          <cell r="DT140">
            <v>50936.109413244609</v>
          </cell>
          <cell r="DU140">
            <v>27384.055530732978</v>
          </cell>
          <cell r="DV140">
            <v>143000</v>
          </cell>
          <cell r="DW140">
            <v>112032</v>
          </cell>
          <cell r="DX140">
            <v>1005317.5902268939</v>
          </cell>
          <cell r="DY140">
            <v>877266.22579708369</v>
          </cell>
          <cell r="DZ140">
            <v>57749.274655992398</v>
          </cell>
          <cell r="EA140">
            <v>108895.07166036067</v>
          </cell>
          <cell r="EB140">
            <v>1043910.5721134368</v>
          </cell>
          <cell r="EC140">
            <v>0</v>
          </cell>
          <cell r="ED140">
            <v>0</v>
          </cell>
          <cell r="EE140">
            <v>0</v>
          </cell>
          <cell r="EF140">
            <v>0</v>
          </cell>
          <cell r="EG140">
            <v>0</v>
          </cell>
          <cell r="EH140">
            <v>0</v>
          </cell>
          <cell r="EI140">
            <v>133255.43587513699</v>
          </cell>
          <cell r="EJ140">
            <v>0</v>
          </cell>
          <cell r="EK140">
            <v>-865270.7348074466</v>
          </cell>
          <cell r="EL140">
            <v>494736</v>
          </cell>
          <cell r="EM140">
            <v>1338009.9801444886</v>
          </cell>
          <cell r="EN140">
            <v>0</v>
          </cell>
          <cell r="EO140">
            <v>1100730.6812121789</v>
          </cell>
          <cell r="EP140">
            <v>1163273.1498149754</v>
          </cell>
          <cell r="EQ140">
            <v>7512372.090777928</v>
          </cell>
          <cell r="ER140">
            <v>146442948.59265122</v>
          </cell>
          <cell r="ES140">
            <v>920</v>
          </cell>
          <cell r="ET140">
            <v>31715.726315789474</v>
          </cell>
          <cell r="EU140">
            <v>4617.3607104102648</v>
          </cell>
          <cell r="EW140">
            <v>5665150</v>
          </cell>
          <cell r="EX140">
            <v>0</v>
          </cell>
          <cell r="EY140">
            <v>0</v>
          </cell>
          <cell r="EZ140">
            <v>22203745.256624341</v>
          </cell>
        </row>
        <row r="143">
          <cell r="B143" t="str">
            <v>Memorandum items</v>
          </cell>
        </row>
        <row r="145">
          <cell r="B145" t="str">
            <v>Academy Funding for SEN pupils that would normally be delegated</v>
          </cell>
          <cell r="CZ145">
            <v>132989.68935707182</v>
          </cell>
        </row>
        <row r="147">
          <cell r="B147" t="str">
            <v>Pupil premium allocated to schools</v>
          </cell>
          <cell r="EW147">
            <v>5665150</v>
          </cell>
        </row>
        <row r="149">
          <cell r="B149" t="str">
            <v>Unallocated pupil premium </v>
          </cell>
          <cell r="EW149">
            <v>128350</v>
          </cell>
        </row>
        <row r="151">
          <cell r="B151" t="str">
            <v>Total pupil premium</v>
          </cell>
          <cell r="EW151">
            <v>5793500</v>
          </cell>
        </row>
        <row r="153">
          <cell r="B153" t="str">
            <v>Unallocated Threshold and performance pay</v>
          </cell>
          <cell r="EX153">
            <v>0</v>
          </cell>
        </row>
        <row r="155">
          <cell r="B155" t="str">
            <v>Total Threshold and performance pay</v>
          </cell>
          <cell r="EX155">
            <v>0</v>
          </cell>
        </row>
        <row r="157">
          <cell r="B157" t="str">
            <v>Unallocated funding to support schools in financial difficulties</v>
          </cell>
          <cell r="EY157">
            <v>150000</v>
          </cell>
        </row>
        <row r="159">
          <cell r="B159" t="str">
            <v>Total funding for schools in financial difficulties</v>
          </cell>
          <cell r="EY159">
            <v>150000</v>
          </cell>
        </row>
        <row r="170">
          <cell r="A170" t="str">
            <v>TABLE  Notes</v>
          </cell>
        </row>
        <row r="171">
          <cell r="A171" t="str">
            <v>Note that the information you provide in this section will be taken into account when returned to DfE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 by type"/>
      <sheetName val="Summary- by group"/>
      <sheetName val="Soulbury"/>
      <sheetName val="TchS Staff-core serv EDB18"/>
      <sheetName val="TchSf-PRUks1-2 EDB08"/>
      <sheetName val="Tchs Staff -PRUks3 edb06"/>
      <sheetName val="TchS Staff -PRUks4 EDB15"/>
      <sheetName val="Tchs EDB16 -Prim ss"/>
      <sheetName val="TchS Staff -Sec SS EDB17"/>
      <sheetName val="Admin EDB09-EDB18"/>
      <sheetName val=" ECO core service EDB18"/>
      <sheetName val="ECO Pru ks1-2 EDB08"/>
      <sheetName val="ECO Pru ks3 EDB06"/>
      <sheetName val="ECO Pru ks4 EDB15"/>
      <sheetName val=" ECO PRIM SSrvice EDB16"/>
      <sheetName val="not used"/>
      <sheetName val="Non Staffing"/>
      <sheetName val="Pupil Numbers"/>
      <sheetName val="Pay Scales"/>
      <sheetName val="Printing"/>
      <sheetName val="Budget Plan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 calculator - One to Use"/>
      <sheetName val="Calculator - for checking only"/>
      <sheetName val="Calculator"/>
      <sheetName val="0708"/>
      <sheetName val="Numbers"/>
      <sheetName val="Rates"/>
      <sheetName val="Nightingale"/>
    </sheetNames>
    <sheetDataSet>
      <sheetData sheetId="0" refreshError="1"/>
      <sheetData sheetId="1" refreshError="1"/>
      <sheetData sheetId="2" refreshError="1"/>
      <sheetData sheetId="3" refreshError="1"/>
      <sheetData sheetId="4" refreshError="1"/>
      <sheetData sheetId="5" refreshError="1">
        <row r="4">
          <cell r="A4" t="str">
            <v>Nursery</v>
          </cell>
        </row>
        <row r="5">
          <cell r="A5" t="str">
            <v>Primary</v>
          </cell>
        </row>
        <row r="6">
          <cell r="A6" t="str">
            <v>Secondary</v>
          </cell>
        </row>
        <row r="7">
          <cell r="A7" t="str">
            <v>Special</v>
          </cell>
        </row>
        <row r="8">
          <cell r="A8" t="str">
            <v>PRU</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30"/>
  <sheetViews>
    <sheetView topLeftCell="A10" zoomScaleNormal="100" workbookViewId="0">
      <selection activeCell="C38" sqref="C38"/>
    </sheetView>
  </sheetViews>
  <sheetFormatPr defaultRowHeight="12.75" x14ac:dyDescent="0.2"/>
  <cols>
    <col min="1" max="1" width="71.140625" customWidth="1"/>
    <col min="2" max="2" width="30.28515625" customWidth="1"/>
    <col min="3" max="3" width="24.7109375" customWidth="1"/>
    <col min="4" max="4" width="32" style="42" customWidth="1"/>
  </cols>
  <sheetData>
    <row r="1" spans="1:4" ht="39" customHeight="1" x14ac:dyDescent="0.25">
      <c r="A1" s="160"/>
      <c r="B1" s="1292"/>
      <c r="C1" s="1292"/>
      <c r="D1" s="1293"/>
    </row>
    <row r="2" spans="1:4" ht="15.75" customHeight="1" x14ac:dyDescent="0.2">
      <c r="A2" s="51"/>
      <c r="B2" s="44"/>
      <c r="C2" s="44"/>
      <c r="D2" s="864"/>
    </row>
    <row r="3" spans="1:4" ht="20.25" customHeight="1" x14ac:dyDescent="0.2">
      <c r="A3" s="1335" t="s">
        <v>1347</v>
      </c>
      <c r="B3" s="91"/>
      <c r="D3" s="1023"/>
    </row>
    <row r="4" spans="1:4" x14ac:dyDescent="0.2">
      <c r="A4" s="1052"/>
      <c r="B4" s="91"/>
      <c r="C4" s="28" t="s">
        <v>1456</v>
      </c>
      <c r="D4" s="1176"/>
    </row>
    <row r="5" spans="1:4" ht="12.75" customHeight="1" x14ac:dyDescent="0.2">
      <c r="A5" s="1052"/>
      <c r="B5" s="91"/>
      <c r="C5" s="750" t="str">
        <f>VLOOKUP($A$3,'Special Schools List'!A:C,3,FALSE)</f>
        <v>All</v>
      </c>
      <c r="D5" s="1176"/>
    </row>
    <row r="6" spans="1:4" x14ac:dyDescent="0.2">
      <c r="A6" s="156"/>
      <c r="B6" s="28"/>
      <c r="C6" s="44"/>
      <c r="D6" s="864"/>
    </row>
    <row r="7" spans="1:4" ht="25.5" customHeight="1" x14ac:dyDescent="0.25">
      <c r="A7" s="1343" t="s">
        <v>1060</v>
      </c>
      <c r="B7" s="1344"/>
      <c r="C7" s="1344"/>
      <c r="D7" s="1345"/>
    </row>
    <row r="8" spans="1:4" ht="13.5" thickBot="1" x14ac:dyDescent="0.25">
      <c r="A8" s="51"/>
      <c r="B8" s="44"/>
      <c r="C8" s="44"/>
      <c r="D8" s="864"/>
    </row>
    <row r="9" spans="1:4" ht="12.75" customHeight="1" x14ac:dyDescent="0.2">
      <c r="A9" s="778"/>
      <c r="B9" s="1295" t="s">
        <v>1375</v>
      </c>
      <c r="C9" s="1296" t="s">
        <v>1442</v>
      </c>
      <c r="D9" s="1291" t="s">
        <v>97</v>
      </c>
    </row>
    <row r="10" spans="1:4" s="1281" customFormat="1" ht="50.1" customHeight="1" thickBot="1" x14ac:dyDescent="0.25">
      <c r="A10" s="1280" t="s">
        <v>1458</v>
      </c>
      <c r="B10" s="1294">
        <f>VLOOKUP(C$5,'Specials Breakdown'!C:E,3,FALSE)</f>
        <v>533</v>
      </c>
      <c r="C10" s="1297">
        <v>10000</v>
      </c>
      <c r="D10" s="1298">
        <f>C10*B10</f>
        <v>5330000</v>
      </c>
    </row>
    <row r="11" spans="1:4" ht="12.75" customHeight="1" x14ac:dyDescent="0.2">
      <c r="A11" s="778"/>
      <c r="B11" s="1295" t="s">
        <v>1375</v>
      </c>
      <c r="C11" s="1296" t="s">
        <v>1442</v>
      </c>
      <c r="D11" s="1291" t="s">
        <v>97</v>
      </c>
    </row>
    <row r="12" spans="1:4" s="1281" customFormat="1" ht="50.1" customHeight="1" thickBot="1" x14ac:dyDescent="0.25">
      <c r="A12" s="1280" t="s">
        <v>1459</v>
      </c>
      <c r="B12" s="1294">
        <f>VLOOKUP(C$5,'Specials Breakdown'!C:E,2,FALSE)</f>
        <v>96</v>
      </c>
      <c r="C12" s="1297">
        <v>8000</v>
      </c>
      <c r="D12" s="1298">
        <f>C12*B12</f>
        <v>768000</v>
      </c>
    </row>
    <row r="13" spans="1:4" s="1281" customFormat="1" ht="12.75" customHeight="1" x14ac:dyDescent="0.2">
      <c r="A13" s="1282"/>
      <c r="B13" s="1295" t="s">
        <v>1375</v>
      </c>
      <c r="C13" s="1296" t="s">
        <v>1442</v>
      </c>
      <c r="D13" s="1291" t="s">
        <v>97</v>
      </c>
    </row>
    <row r="14" spans="1:4" s="1281" customFormat="1" ht="50.1" customHeight="1" thickBot="1" x14ac:dyDescent="0.25">
      <c r="A14" s="1303" t="s">
        <v>1432</v>
      </c>
      <c r="B14" s="1294">
        <f>VLOOKUP(C$5,'Specials Breakdown'!C:G,5,FALSE)</f>
        <v>4</v>
      </c>
      <c r="C14" s="1297">
        <v>10000</v>
      </c>
      <c r="D14" s="1298">
        <f>C14*B14</f>
        <v>40000</v>
      </c>
    </row>
    <row r="15" spans="1:4" s="1281" customFormat="1" ht="12.75" customHeight="1" x14ac:dyDescent="0.2">
      <c r="A15" s="1282"/>
      <c r="B15" s="1287"/>
      <c r="C15" s="1283"/>
      <c r="D15" s="1291" t="s">
        <v>97</v>
      </c>
    </row>
    <row r="16" spans="1:4" s="1281" customFormat="1" ht="50.1" customHeight="1" thickBot="1" x14ac:dyDescent="0.25">
      <c r="A16" s="1303" t="s">
        <v>1448</v>
      </c>
      <c r="B16" s="1346" t="s">
        <v>1067</v>
      </c>
      <c r="C16" s="1347"/>
      <c r="D16" s="1298">
        <f>VLOOKUP(C$5,'Specials Breakdown'!C:S,10,FALSE)</f>
        <v>376295.00000000006</v>
      </c>
    </row>
    <row r="17" spans="1:4" s="1281" customFormat="1" ht="12.75" customHeight="1" x14ac:dyDescent="0.2">
      <c r="A17" s="1282"/>
      <c r="B17" s="1287"/>
      <c r="C17" s="1283"/>
      <c r="D17" s="1291" t="s">
        <v>97</v>
      </c>
    </row>
    <row r="18" spans="1:4" s="1281" customFormat="1" ht="50.1" customHeight="1" thickBot="1" x14ac:dyDescent="0.25">
      <c r="A18" s="1303" t="s">
        <v>1350</v>
      </c>
      <c r="B18" s="1346" t="s">
        <v>1067</v>
      </c>
      <c r="C18" s="1347"/>
      <c r="D18" s="1298">
        <f>VLOOKUP(C$5,'Specials Breakdown'!C:S,8,FALSE)</f>
        <v>7503169.2430525487</v>
      </c>
    </row>
    <row r="19" spans="1:4" s="1281" customFormat="1" ht="12.75" customHeight="1" x14ac:dyDescent="0.2">
      <c r="A19" s="1282"/>
      <c r="B19" s="1287"/>
      <c r="C19" s="1283"/>
      <c r="D19" s="1291" t="s">
        <v>97</v>
      </c>
    </row>
    <row r="20" spans="1:4" s="1281" customFormat="1" ht="50.1" customHeight="1" thickBot="1" x14ac:dyDescent="0.25">
      <c r="A20" s="1303" t="s">
        <v>1334</v>
      </c>
      <c r="B20" s="1346" t="s">
        <v>1067</v>
      </c>
      <c r="C20" s="1347"/>
      <c r="D20" s="1298">
        <f>VLOOKUP(C$5,'Specials Breakdown'!C:S,14,FALSE)</f>
        <v>82506</v>
      </c>
    </row>
    <row r="21" spans="1:4" s="1281" customFormat="1" ht="12.75" customHeight="1" x14ac:dyDescent="0.2">
      <c r="A21" s="1282"/>
      <c r="B21" s="1287"/>
      <c r="C21" s="1283"/>
      <c r="D21" s="1291" t="s">
        <v>97</v>
      </c>
    </row>
    <row r="22" spans="1:4" s="1281" customFormat="1" ht="50.1" customHeight="1" thickBot="1" x14ac:dyDescent="0.3">
      <c r="A22" s="1303" t="s">
        <v>650</v>
      </c>
      <c r="B22" s="1341"/>
      <c r="C22" s="1342"/>
      <c r="D22" s="1298">
        <f>VLOOKUP(C$5,'Specials Breakdown'!C:S,13,FALSE)</f>
        <v>78147</v>
      </c>
    </row>
    <row r="23" spans="1:4" s="1281" customFormat="1" ht="12.75" customHeight="1" x14ac:dyDescent="0.2">
      <c r="A23" s="1282"/>
      <c r="B23" s="1287"/>
      <c r="C23" s="1283"/>
      <c r="D23" s="1291" t="s">
        <v>97</v>
      </c>
    </row>
    <row r="24" spans="1:4" s="1281" customFormat="1" ht="50.1" customHeight="1" thickBot="1" x14ac:dyDescent="0.3">
      <c r="A24" s="1303" t="s">
        <v>972</v>
      </c>
      <c r="B24" s="1341"/>
      <c r="C24" s="1342"/>
      <c r="D24" s="1298">
        <f>VLOOKUP(C$5,'Specials Breakdown'!C:S,15,FALSE)</f>
        <v>93268</v>
      </c>
    </row>
    <row r="25" spans="1:4" s="1281" customFormat="1" ht="12.75" customHeight="1" x14ac:dyDescent="0.2">
      <c r="A25" s="1284"/>
      <c r="B25" s="1288"/>
      <c r="C25" s="1285"/>
      <c r="D25" s="1291" t="s">
        <v>97</v>
      </c>
    </row>
    <row r="26" spans="1:4" s="1281" customFormat="1" ht="50.1" customHeight="1" thickBot="1" x14ac:dyDescent="0.3">
      <c r="A26" s="1303" t="s">
        <v>1457</v>
      </c>
      <c r="B26" s="1341"/>
      <c r="C26" s="1342"/>
      <c r="D26" s="1298">
        <f>VLOOKUP(C$5,'Specials Breakdown'!C:S,16,FALSE)</f>
        <v>-93268</v>
      </c>
    </row>
    <row r="27" spans="1:4" ht="15.75" thickBot="1" x14ac:dyDescent="0.25">
      <c r="A27" s="778"/>
      <c r="B27" s="1286"/>
      <c r="C27" s="1138"/>
      <c r="D27" s="1291" t="s">
        <v>97</v>
      </c>
    </row>
    <row r="28" spans="1:4" ht="60" customHeight="1" thickBot="1" x14ac:dyDescent="0.3">
      <c r="A28" s="1300" t="s">
        <v>1455</v>
      </c>
      <c r="B28" s="1289"/>
      <c r="C28" s="1047"/>
      <c r="D28" s="1299">
        <f>D10+D14+D16+D18+D20+D22+D24+D26+D12</f>
        <v>14178117.24305255</v>
      </c>
    </row>
    <row r="29" spans="1:4" ht="13.5" thickBot="1" x14ac:dyDescent="0.25">
      <c r="A29" s="51"/>
      <c r="B29" s="44"/>
      <c r="C29" s="44"/>
      <c r="D29" s="864"/>
    </row>
    <row r="30" spans="1:4" ht="60" customHeight="1" thickBot="1" x14ac:dyDescent="0.3">
      <c r="A30" s="1301" t="s">
        <v>1454</v>
      </c>
      <c r="B30" s="1290"/>
      <c r="C30" s="1137"/>
      <c r="D30" s="1302">
        <f>VLOOKUP(C$5,'Specials Breakdown'!C:T,18,FALSE)</f>
        <v>145930.3898252206</v>
      </c>
    </row>
  </sheetData>
  <sheetProtection password="EF5C" sheet="1" objects="1" scenarios="1"/>
  <mergeCells count="7">
    <mergeCell ref="B24:C24"/>
    <mergeCell ref="B26:C26"/>
    <mergeCell ref="A7:D7"/>
    <mergeCell ref="B16:C16"/>
    <mergeCell ref="B18:C18"/>
    <mergeCell ref="B20:C20"/>
    <mergeCell ref="B22:C22"/>
  </mergeCells>
  <printOptions horizontalCentered="1"/>
  <pageMargins left="0.25" right="0.25" top="0.75" bottom="0.75" header="0.3" footer="0.3"/>
  <pageSetup paperSize="9" scale="63" orientation="portrait" r:id="rId1"/>
  <headerFooter alignWithMargins="0">
    <oddHeader>&amp;A</oddHeader>
    <oddFooter>&amp;Z&amp;F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'Special Schools List'!$A:$A</xm:f>
          </x14:formula1>
          <xm:sqref>A3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J124"/>
  <sheetViews>
    <sheetView tabSelected="1" view="pageBreakPreview" zoomScale="60" zoomScaleNormal="100" workbookViewId="0">
      <selection activeCell="E6" sqref="E6"/>
    </sheetView>
  </sheetViews>
  <sheetFormatPr defaultRowHeight="12.75" x14ac:dyDescent="0.2"/>
  <cols>
    <col min="1" max="1" width="62.5703125" customWidth="1"/>
    <col min="2" max="2" width="40.140625" customWidth="1"/>
    <col min="3" max="3" width="14.28515625" customWidth="1"/>
    <col min="4" max="4" width="18.140625" customWidth="1"/>
    <col min="5" max="5" width="14.28515625" customWidth="1"/>
    <col min="6" max="6" width="16.5703125" customWidth="1"/>
    <col min="7" max="7" width="20.85546875" style="42" customWidth="1"/>
    <col min="8" max="8" width="12.7109375" hidden="1" customWidth="1"/>
    <col min="9" max="9" width="13.85546875" hidden="1" customWidth="1"/>
    <col min="10" max="10" width="12.140625" hidden="1" customWidth="1"/>
  </cols>
  <sheetData>
    <row r="1" spans="1:10" ht="21" customHeight="1" x14ac:dyDescent="0.25">
      <c r="A1" s="160"/>
      <c r="B1" s="1361" t="s">
        <v>1017</v>
      </c>
      <c r="C1" s="1361"/>
      <c r="D1" s="1361"/>
      <c r="E1" s="49"/>
      <c r="F1" s="49"/>
      <c r="G1" s="863"/>
    </row>
    <row r="2" spans="1:10" ht="15.75" customHeight="1" x14ac:dyDescent="0.2">
      <c r="A2" s="51"/>
      <c r="B2" s="44"/>
      <c r="C2" s="44"/>
      <c r="D2" s="44"/>
      <c r="E2" s="44"/>
      <c r="F2" s="44"/>
      <c r="G2" s="864"/>
    </row>
    <row r="3" spans="1:10" ht="20.25" customHeight="1" x14ac:dyDescent="0.2">
      <c r="A3" s="1052"/>
      <c r="B3" s="1367" t="s">
        <v>143</v>
      </c>
      <c r="C3" s="1367"/>
      <c r="D3" s="1367"/>
      <c r="E3" s="1052"/>
      <c r="F3" s="751"/>
      <c r="G3" s="1023"/>
    </row>
    <row r="4" spans="1:10" ht="15.75" x14ac:dyDescent="0.25">
      <c r="A4" s="1052"/>
      <c r="B4" s="44"/>
      <c r="C4" s="44"/>
      <c r="D4" s="44"/>
      <c r="E4" s="161"/>
      <c r="F4" s="1362"/>
      <c r="G4" s="1363"/>
    </row>
    <row r="5" spans="1:10" ht="12.75" customHeight="1" x14ac:dyDescent="0.2">
      <c r="A5" s="1052"/>
      <c r="B5" s="750" t="str">
        <f>VLOOKUP($B$3,'School Level Information'!$A$2:$B$92,2,FALSE)</f>
        <v>ALL</v>
      </c>
      <c r="C5" s="91" t="s">
        <v>1</v>
      </c>
      <c r="D5" s="1177"/>
      <c r="E5" s="44"/>
      <c r="F5" s="1362"/>
      <c r="G5" s="1363"/>
    </row>
    <row r="6" spans="1:10" ht="13.5" thickBot="1" x14ac:dyDescent="0.25">
      <c r="A6" s="156"/>
      <c r="B6" s="44"/>
      <c r="C6" s="44"/>
      <c r="D6" s="44"/>
      <c r="E6" s="44"/>
      <c r="F6" s="44"/>
      <c r="G6" s="864"/>
    </row>
    <row r="7" spans="1:10" ht="13.5" thickBot="1" x14ac:dyDescent="0.25">
      <c r="A7" s="852"/>
      <c r="B7" s="853"/>
      <c r="C7" s="853"/>
      <c r="D7" s="853"/>
      <c r="E7" s="853"/>
      <c r="F7" s="853"/>
      <c r="G7" s="854"/>
    </row>
    <row r="8" spans="1:10" s="16" customFormat="1" ht="62.25" customHeight="1" x14ac:dyDescent="0.2">
      <c r="A8" s="778" t="s">
        <v>93</v>
      </c>
      <c r="B8" s="779" t="s">
        <v>94</v>
      </c>
      <c r="C8" s="776" t="s">
        <v>1020</v>
      </c>
      <c r="D8" s="780" t="s">
        <v>1019</v>
      </c>
      <c r="E8" s="777" t="s">
        <v>1024</v>
      </c>
      <c r="F8" s="155" t="s">
        <v>95</v>
      </c>
      <c r="G8" s="855" t="s">
        <v>96</v>
      </c>
    </row>
    <row r="9" spans="1:10" ht="20.100000000000001" customHeight="1" x14ac:dyDescent="0.2">
      <c r="A9" s="1356" t="s">
        <v>105</v>
      </c>
      <c r="B9" s="163" t="s">
        <v>141</v>
      </c>
      <c r="C9" s="841">
        <f>'For proforma'!F3</f>
        <v>2519.6252409648773</v>
      </c>
      <c r="D9" s="838">
        <f>VLOOKUP($B$5,'New Finbud Primary &amp; Secondary'!B:ET,149,FALSE)</f>
        <v>-73.013413092534819</v>
      </c>
      <c r="E9" s="841">
        <f>C9+D9</f>
        <v>2446.6118278723425</v>
      </c>
      <c r="F9" s="844">
        <f>VLOOKUP($B$5,'New Finbud Primary &amp; Secondary'!B:M,9,FALSE)</f>
        <v>20500</v>
      </c>
      <c r="G9" s="856">
        <f>IF(B3="All Schools",'New Finbud Primary &amp; Secondary'!BD90+'New Finbud Primary &amp; Secondary'!N90+'New Finbud Primary &amp; Secondary'!BA90,F9*E9)</f>
        <v>50248269.506010547</v>
      </c>
    </row>
    <row r="10" spans="1:10" ht="20.100000000000001" customHeight="1" x14ac:dyDescent="0.2">
      <c r="A10" s="1368"/>
      <c r="B10" s="163" t="s">
        <v>139</v>
      </c>
      <c r="C10" s="841">
        <f>'For proforma'!F4</f>
        <v>3523.6221503908532</v>
      </c>
      <c r="D10" s="838">
        <f>VLOOKUP($B$5,'New Finbud Primary &amp; Secondary'!B:EU,150,FALSE)</f>
        <v>-59.501067947573937</v>
      </c>
      <c r="E10" s="841">
        <f>C10+D10</f>
        <v>3464.1210824432792</v>
      </c>
      <c r="F10" s="844">
        <f>VLOOKUP($B$5,'New Finbud Primary &amp; Secondary'!B:M,10,FALSE)</f>
        <v>7856</v>
      </c>
      <c r="G10" s="856">
        <f>IF(B3="All Schools",'New Finbud Primary &amp; Secondary'!BD108+'New Finbud Primary &amp; Secondary'!BA108+'New Finbud Primary &amp; Secondary'!N108,F10*E10)</f>
        <v>48674718.554035671</v>
      </c>
    </row>
    <row r="11" spans="1:10" ht="20.100000000000001" customHeight="1" x14ac:dyDescent="0.2">
      <c r="A11" s="1369"/>
      <c r="B11" s="163" t="s">
        <v>140</v>
      </c>
      <c r="C11" s="841">
        <f>'For proforma'!F5</f>
        <v>3963.7219854838686</v>
      </c>
      <c r="D11" s="838">
        <f>VLOOKUP($B$5,'New Finbud Primary &amp; Secondary'!B:EU,150,FALSE)</f>
        <v>-59.501067947573937</v>
      </c>
      <c r="E11" s="841">
        <f>C11+D11</f>
        <v>3904.2209175362946</v>
      </c>
      <c r="F11" s="844">
        <f>VLOOKUP($B$5,'New Finbud Primary &amp; Secondary'!B:M,11,FALSE)</f>
        <v>5394</v>
      </c>
      <c r="G11" s="856">
        <f>IF(B3="All Schools",0,F11*E11)</f>
        <v>0</v>
      </c>
    </row>
    <row r="12" spans="1:10" ht="16.5" thickBot="1" x14ac:dyDescent="0.3">
      <c r="A12" s="828"/>
      <c r="B12" s="829"/>
      <c r="C12" s="830"/>
      <c r="D12" s="830"/>
      <c r="E12" s="846" t="s">
        <v>633</v>
      </c>
      <c r="F12" s="845">
        <f>SUM(F9:F11)</f>
        <v>33750</v>
      </c>
      <c r="G12" s="1144">
        <f>SUM(G9:G11)</f>
        <v>98922988.060046226</v>
      </c>
    </row>
    <row r="13" spans="1:10" ht="65.25" customHeight="1" x14ac:dyDescent="0.2">
      <c r="A13" s="778"/>
      <c r="B13" s="779"/>
      <c r="C13" s="152" t="s">
        <v>1057</v>
      </c>
      <c r="D13" s="152" t="s">
        <v>1058</v>
      </c>
      <c r="E13" s="152" t="s">
        <v>100</v>
      </c>
      <c r="F13" s="153" t="s">
        <v>99</v>
      </c>
      <c r="G13" s="857" t="s">
        <v>96</v>
      </c>
      <c r="H13" s="76"/>
      <c r="I13" s="76"/>
      <c r="J13" s="76"/>
    </row>
    <row r="14" spans="1:10" ht="27" customHeight="1" x14ac:dyDescent="0.2">
      <c r="A14" s="1364" t="s">
        <v>98</v>
      </c>
      <c r="B14" s="8" t="s">
        <v>109</v>
      </c>
      <c r="C14" s="109"/>
      <c r="D14" s="109"/>
      <c r="E14" s="14"/>
      <c r="F14" s="14"/>
      <c r="G14" s="858"/>
      <c r="H14" s="76"/>
      <c r="I14" s="76"/>
      <c r="J14" s="76"/>
    </row>
    <row r="15" spans="1:10" ht="27" customHeight="1" x14ac:dyDescent="0.2">
      <c r="A15" s="1365"/>
      <c r="B15" s="129" t="s">
        <v>84</v>
      </c>
      <c r="C15" s="840">
        <v>1076.69</v>
      </c>
      <c r="D15" s="840">
        <v>824.6</v>
      </c>
      <c r="E15" s="842">
        <f>VLOOKUP($B$3,'School Level Information'!$A$2:$AC$92,9,0)</f>
        <v>6246.7924778761062</v>
      </c>
      <c r="F15" s="842">
        <f>VLOOKUP($B$3,'School Level Information'!$A$2:$AB$92,10,0)</f>
        <v>3935.5929999999998</v>
      </c>
      <c r="G15" s="856">
        <f t="shared" ref="G15:G21" si="0">C15*E15+(D15*F15)</f>
        <v>9971148.9808044247</v>
      </c>
      <c r="H15" s="76"/>
      <c r="I15" s="76"/>
      <c r="J15" s="76"/>
    </row>
    <row r="16" spans="1:10" ht="27" customHeight="1" x14ac:dyDescent="0.2">
      <c r="A16" s="1365"/>
      <c r="B16" s="9" t="s">
        <v>85</v>
      </c>
      <c r="C16" s="841">
        <v>135.25</v>
      </c>
      <c r="D16" s="841">
        <v>107.37</v>
      </c>
      <c r="E16" s="842">
        <f>VLOOKUP($B$3,'School Level Information'!$A$2:$AC$92,11,0)</f>
        <v>1354.8216287074592</v>
      </c>
      <c r="F16" s="842">
        <f>VLOOKUP($B$3,'School Level Information'!$A$2:$AC$92,12,0)</f>
        <v>953.53859945821239</v>
      </c>
      <c r="G16" s="856">
        <f t="shared" si="0"/>
        <v>285621.06470651214</v>
      </c>
      <c r="H16" s="76"/>
      <c r="I16" s="76"/>
      <c r="J16" s="76"/>
    </row>
    <row r="17" spans="1:10" ht="27" customHeight="1" x14ac:dyDescent="0.2">
      <c r="A17" s="1365"/>
      <c r="B17" s="9" t="s">
        <v>86</v>
      </c>
      <c r="C17" s="841">
        <v>270.51</v>
      </c>
      <c r="D17" s="841">
        <v>215.24</v>
      </c>
      <c r="E17" s="842">
        <f>VLOOKUP($B$3,'School Level Information'!$A$2:$AC$92,13,0)</f>
        <v>1948.6110422460069</v>
      </c>
      <c r="F17" s="842">
        <f>VLOOKUP($B$3,'School Level Information'!$A$2:$AC$92,14,0)</f>
        <v>1202.1027877407055</v>
      </c>
      <c r="G17" s="856">
        <f t="shared" si="0"/>
        <v>785859.37707127677</v>
      </c>
      <c r="H17" s="76"/>
      <c r="I17" s="76"/>
      <c r="J17" s="76"/>
    </row>
    <row r="18" spans="1:10" ht="27" customHeight="1" x14ac:dyDescent="0.2">
      <c r="A18" s="1365"/>
      <c r="B18" s="9" t="s">
        <v>87</v>
      </c>
      <c r="C18" s="841">
        <v>406.28</v>
      </c>
      <c r="D18" s="841">
        <v>322.62</v>
      </c>
      <c r="E18" s="842">
        <f>VLOOKUP($B$3,'School Level Information'!$A$2:$AC$92,15,0)</f>
        <v>3496.1491516640062</v>
      </c>
      <c r="F18" s="842">
        <f>VLOOKUP($B$3,'School Level Information'!$A$2:$AC$92,16,0)</f>
        <v>2024.3906332489848</v>
      </c>
      <c r="G18" s="856">
        <f t="shared" si="0"/>
        <v>2073524.38343684</v>
      </c>
      <c r="H18" s="76"/>
      <c r="I18" s="76"/>
      <c r="J18" s="76"/>
    </row>
    <row r="19" spans="1:10" ht="27" customHeight="1" x14ac:dyDescent="0.2">
      <c r="A19" s="1365"/>
      <c r="B19" s="9" t="s">
        <v>88</v>
      </c>
      <c r="C19" s="841">
        <v>541.53</v>
      </c>
      <c r="D19" s="841">
        <v>429.99</v>
      </c>
      <c r="E19" s="842">
        <f>VLOOKUP($B$3,'School Level Information'!$A$2:$AC$92,17,0)</f>
        <v>2607.0185846718941</v>
      </c>
      <c r="F19" s="842">
        <f>VLOOKUP($B$3,'School Level Information'!$A$2:$AC$92,18,0)</f>
        <v>1305.3317869320174</v>
      </c>
      <c r="G19" s="856">
        <f t="shared" si="0"/>
        <v>1973058.3892202689</v>
      </c>
      <c r="H19" s="76"/>
      <c r="I19" s="76"/>
      <c r="J19" s="76"/>
    </row>
    <row r="20" spans="1:10" ht="27" customHeight="1" x14ac:dyDescent="0.2">
      <c r="A20" s="1365"/>
      <c r="B20" s="9" t="s">
        <v>89</v>
      </c>
      <c r="C20" s="841">
        <v>1083.07</v>
      </c>
      <c r="D20" s="841">
        <v>860.48</v>
      </c>
      <c r="E20" s="842">
        <f>VLOOKUP($B$3,'School Level Information'!$A$2:$AC$92,19,0)</f>
        <v>1781.7848157158251</v>
      </c>
      <c r="F20" s="842">
        <f>VLOOKUP($B$3,'School Level Information'!$A$2:$AC$92,20,0)</f>
        <v>884.44729242336632</v>
      </c>
      <c r="G20" s="856">
        <f t="shared" si="0"/>
        <v>2690846.8865417968</v>
      </c>
      <c r="H20" s="76"/>
      <c r="I20" s="76"/>
      <c r="J20" s="76"/>
    </row>
    <row r="21" spans="1:10" ht="27" customHeight="1" x14ac:dyDescent="0.2">
      <c r="A21" s="1366"/>
      <c r="B21" s="9" t="s">
        <v>90</v>
      </c>
      <c r="C21" s="841">
        <v>1083.07</v>
      </c>
      <c r="D21" s="841">
        <v>860.48</v>
      </c>
      <c r="E21" s="842">
        <f>VLOOKUP($B$3,'School Level Information'!$A$2:$AC$92,21,0)</f>
        <v>1157.2034356213271</v>
      </c>
      <c r="F21" s="842">
        <f>VLOOKUP($B$3,'School Level Information'!$A$2:$AC$92,22,0)</f>
        <v>595.26582159322925</v>
      </c>
      <c r="G21" s="856">
        <f t="shared" si="0"/>
        <v>1765546.6591829327</v>
      </c>
      <c r="H21" s="76"/>
      <c r="I21" s="76"/>
      <c r="J21" s="76"/>
    </row>
    <row r="22" spans="1:10" ht="16.5" thickBot="1" x14ac:dyDescent="0.3">
      <c r="A22" s="831"/>
      <c r="B22" s="832"/>
      <c r="C22" s="833"/>
      <c r="D22" s="846" t="s">
        <v>633</v>
      </c>
      <c r="E22" s="845">
        <f>SUM(E14:E21)</f>
        <v>18592.381136502623</v>
      </c>
      <c r="F22" s="845">
        <f>SUM(F14:F21)</f>
        <v>10900.669921396517</v>
      </c>
      <c r="G22" s="1144">
        <f>SUM(G14:G21)</f>
        <v>19545605.740964051</v>
      </c>
      <c r="H22" s="76"/>
      <c r="I22" s="76"/>
      <c r="J22" s="76"/>
    </row>
    <row r="23" spans="1:10" ht="25.5" x14ac:dyDescent="0.2">
      <c r="A23" s="778"/>
      <c r="B23" s="779"/>
      <c r="C23" s="1358" t="s">
        <v>1056</v>
      </c>
      <c r="D23" s="1358"/>
      <c r="E23" s="1358"/>
      <c r="F23" s="847" t="s">
        <v>95</v>
      </c>
      <c r="G23" s="859" t="s">
        <v>97</v>
      </c>
      <c r="H23" s="76"/>
      <c r="I23" s="76"/>
      <c r="J23" s="76"/>
    </row>
    <row r="24" spans="1:10" ht="27" customHeight="1" thickBot="1" x14ac:dyDescent="0.25">
      <c r="A24" s="157" t="s">
        <v>101</v>
      </c>
      <c r="B24" s="162" t="s">
        <v>102</v>
      </c>
      <c r="C24" s="164"/>
      <c r="D24" s="839">
        <v>1657</v>
      </c>
      <c r="E24" s="110"/>
      <c r="F24" s="844">
        <f>VLOOKUP($B$3,'School Level Information'!$A$2:$AC$92,23,0)</f>
        <v>122.3219073411409</v>
      </c>
      <c r="G24" s="1145">
        <f>F24*D24</f>
        <v>202687.40046427047</v>
      </c>
      <c r="H24" s="76"/>
      <c r="I24" s="76"/>
      <c r="J24" s="76"/>
    </row>
    <row r="25" spans="1:10" ht="25.5" x14ac:dyDescent="0.2">
      <c r="A25" s="778"/>
      <c r="B25" s="779"/>
      <c r="C25" s="1358" t="s">
        <v>1056</v>
      </c>
      <c r="D25" s="1358"/>
      <c r="E25" s="1358"/>
      <c r="F25" s="848" t="s">
        <v>95</v>
      </c>
      <c r="G25" s="859" t="s">
        <v>97</v>
      </c>
    </row>
    <row r="26" spans="1:10" ht="27" customHeight="1" thickBot="1" x14ac:dyDescent="0.25">
      <c r="A26" s="158" t="s">
        <v>1398</v>
      </c>
      <c r="B26" s="165" t="s">
        <v>103</v>
      </c>
      <c r="C26" s="164"/>
      <c r="D26" s="839">
        <v>1864.92</v>
      </c>
      <c r="E26" s="110"/>
      <c r="F26" s="844">
        <f>VLOOKUP($B$3,'School Level Information'!$A$2:$AC$92,25,0)</f>
        <v>1852.3235248522458</v>
      </c>
      <c r="G26" s="1145">
        <f>F26*D26</f>
        <v>3454435.1879674504</v>
      </c>
    </row>
    <row r="27" spans="1:10" ht="25.5" x14ac:dyDescent="0.2">
      <c r="A27" s="778"/>
      <c r="B27" s="779"/>
      <c r="C27" s="1358" t="s">
        <v>1056</v>
      </c>
      <c r="D27" s="1358"/>
      <c r="E27" s="1358"/>
      <c r="F27" s="848" t="s">
        <v>95</v>
      </c>
      <c r="G27" s="859" t="s">
        <v>97</v>
      </c>
    </row>
    <row r="28" spans="1:10" ht="27" customHeight="1" x14ac:dyDescent="0.2">
      <c r="A28" s="1356" t="s">
        <v>133</v>
      </c>
      <c r="B28" s="165" t="s">
        <v>135</v>
      </c>
      <c r="C28" s="164"/>
      <c r="D28" s="839">
        <v>932.68</v>
      </c>
      <c r="E28" s="110"/>
      <c r="F28" s="844">
        <f>VLOOKUP($B$3,'School Level Information'!$A$2:$AC$92,26,0)</f>
        <v>2782.7144689568777</v>
      </c>
      <c r="G28" s="1145">
        <f>F28*D28</f>
        <v>2595382.1309067006</v>
      </c>
    </row>
    <row r="29" spans="1:10" ht="27" customHeight="1" thickBot="1" x14ac:dyDescent="0.25">
      <c r="A29" s="1357"/>
      <c r="B29" s="165" t="s">
        <v>134</v>
      </c>
      <c r="C29" s="164"/>
      <c r="D29" s="839">
        <v>2738.7</v>
      </c>
      <c r="E29" s="110"/>
      <c r="F29" s="844">
        <f>VLOOKUP($B$3,'School Level Information'!$A$2:$AC$92,27,0)</f>
        <v>404.31348064737324</v>
      </c>
      <c r="G29" s="1145">
        <f>F29*D29</f>
        <v>1107293.329448961</v>
      </c>
      <c r="H29" s="42">
        <f>G29+G28</f>
        <v>3702675.4603556618</v>
      </c>
    </row>
    <row r="30" spans="1:10" ht="25.5" x14ac:dyDescent="0.2">
      <c r="A30" s="778"/>
      <c r="B30" s="779"/>
      <c r="C30" s="1358" t="s">
        <v>1056</v>
      </c>
      <c r="D30" s="1358"/>
      <c r="E30" s="1358"/>
      <c r="F30" s="849" t="s">
        <v>95</v>
      </c>
      <c r="G30" s="859" t="s">
        <v>97</v>
      </c>
    </row>
    <row r="31" spans="1:10" ht="57.75" customHeight="1" x14ac:dyDescent="0.2">
      <c r="A31" s="1359" t="s">
        <v>132</v>
      </c>
      <c r="B31" s="165" t="s">
        <v>622</v>
      </c>
      <c r="C31" s="164"/>
      <c r="D31" s="839">
        <v>762</v>
      </c>
      <c r="E31" s="767"/>
      <c r="F31" s="844">
        <f>VLOOKUP($B$3,'School Level Information'!$A$2:$AC$92,28,0)</f>
        <v>1506.7363058120816</v>
      </c>
      <c r="G31" s="1145">
        <f>F31*D31</f>
        <v>1148133.0650288062</v>
      </c>
    </row>
    <row r="32" spans="1:10" ht="57.75" customHeight="1" thickBot="1" x14ac:dyDescent="0.25">
      <c r="A32" s="1360"/>
      <c r="B32" s="165" t="s">
        <v>621</v>
      </c>
      <c r="C32" s="164"/>
      <c r="D32" s="839">
        <v>1793</v>
      </c>
      <c r="E32" s="767"/>
      <c r="F32" s="844">
        <f>VLOOKUP($B$3,'School Level Information'!$A$2:$AC$92,29,0)</f>
        <v>691.53417389534309</v>
      </c>
      <c r="G32" s="1145">
        <f>F32*D32</f>
        <v>1239920.7737943502</v>
      </c>
      <c r="H32" s="42">
        <f>G32+G31</f>
        <v>2388053.8388231564</v>
      </c>
    </row>
    <row r="33" spans="1:7" ht="12.75" customHeight="1" x14ac:dyDescent="0.2">
      <c r="A33" s="778"/>
      <c r="B33" s="779"/>
      <c r="C33" s="1358" t="s">
        <v>1055</v>
      </c>
      <c r="D33" s="1358"/>
      <c r="E33" s="1358"/>
      <c r="F33" s="850" t="s">
        <v>104</v>
      </c>
      <c r="G33" s="859" t="s">
        <v>97</v>
      </c>
    </row>
    <row r="34" spans="1:7" ht="27" customHeight="1" thickBot="1" x14ac:dyDescent="0.25">
      <c r="A34" s="157" t="s">
        <v>112</v>
      </c>
      <c r="B34" s="775" t="s">
        <v>1050</v>
      </c>
      <c r="C34" s="164"/>
      <c r="D34" s="839">
        <v>100000</v>
      </c>
      <c r="E34" s="110"/>
      <c r="F34" s="843">
        <f>IF(B3="All Schools",84,1)</f>
        <v>84</v>
      </c>
      <c r="G34" s="1055">
        <f>F34*D34</f>
        <v>8400000</v>
      </c>
    </row>
    <row r="35" spans="1:7" ht="12.75" customHeight="1" x14ac:dyDescent="0.2">
      <c r="A35" s="778"/>
      <c r="B35" s="779"/>
      <c r="C35" s="1358" t="s">
        <v>1054</v>
      </c>
      <c r="D35" s="1358"/>
      <c r="E35" s="1358"/>
      <c r="F35" s="850" t="s">
        <v>104</v>
      </c>
      <c r="G35" s="859" t="s">
        <v>97</v>
      </c>
    </row>
    <row r="36" spans="1:7" ht="27" customHeight="1" thickBot="1" x14ac:dyDescent="0.25">
      <c r="A36" s="159" t="s">
        <v>113</v>
      </c>
      <c r="B36" s="162"/>
      <c r="C36" s="164"/>
      <c r="D36" s="839">
        <f>VLOOKUP($B$3,'School Level Information'!$A$2:$AG$92,30,0)</f>
        <v>19329.921551105632</v>
      </c>
      <c r="E36" s="110"/>
      <c r="F36" s="834">
        <v>1</v>
      </c>
      <c r="G36" s="1055">
        <f>F36*D36</f>
        <v>19329.921551105632</v>
      </c>
    </row>
    <row r="37" spans="1:7" ht="12.75" customHeight="1" x14ac:dyDescent="0.2">
      <c r="A37" s="778"/>
      <c r="B37" s="779"/>
      <c r="C37" s="1358" t="s">
        <v>1053</v>
      </c>
      <c r="D37" s="1358"/>
      <c r="E37" s="1358"/>
      <c r="F37" s="850" t="s">
        <v>104</v>
      </c>
      <c r="G37" s="859" t="s">
        <v>97</v>
      </c>
    </row>
    <row r="38" spans="1:7" ht="27" customHeight="1" thickBot="1" x14ac:dyDescent="0.25">
      <c r="A38" s="159" t="s">
        <v>114</v>
      </c>
      <c r="B38" s="775"/>
      <c r="C38" s="164"/>
      <c r="D38" s="839">
        <f>VLOOKUP($B$3,'School Level Information'!$A$2:$AG$92,31,0)</f>
        <v>1450572.771885714</v>
      </c>
      <c r="E38" s="110"/>
      <c r="F38" s="834">
        <v>1</v>
      </c>
      <c r="G38" s="1055">
        <f>F38*D38</f>
        <v>1450572.771885714</v>
      </c>
    </row>
    <row r="39" spans="1:7" ht="12.75" customHeight="1" x14ac:dyDescent="0.2">
      <c r="A39" s="778"/>
      <c r="B39" s="779"/>
      <c r="C39" s="1358" t="s">
        <v>1052</v>
      </c>
      <c r="D39" s="1358"/>
      <c r="E39" s="1358"/>
      <c r="F39" s="850" t="s">
        <v>104</v>
      </c>
      <c r="G39" s="859" t="s">
        <v>97</v>
      </c>
    </row>
    <row r="40" spans="1:7" ht="27" customHeight="1" thickBot="1" x14ac:dyDescent="0.25">
      <c r="A40" s="159" t="s">
        <v>1049</v>
      </c>
      <c r="B40" s="775"/>
      <c r="C40" s="164"/>
      <c r="D40" s="839">
        <f>VLOOKUP($B$3,'School Level Information'!$A$2:$AG$92,32,0)</f>
        <v>972751.21663703443</v>
      </c>
      <c r="E40" s="110"/>
      <c r="F40" s="834">
        <v>1</v>
      </c>
      <c r="G40" s="1055">
        <f>F40*D40</f>
        <v>972751.21663703443</v>
      </c>
    </row>
    <row r="41" spans="1:7" ht="12.75" customHeight="1" x14ac:dyDescent="0.2">
      <c r="A41" s="778"/>
      <c r="B41" s="779"/>
      <c r="C41" s="1358" t="s">
        <v>1051</v>
      </c>
      <c r="D41" s="1358"/>
      <c r="E41" s="1358"/>
      <c r="F41" s="850" t="s">
        <v>104</v>
      </c>
      <c r="G41" s="859" t="s">
        <v>97</v>
      </c>
    </row>
    <row r="42" spans="1:7" ht="27" customHeight="1" thickBot="1" x14ac:dyDescent="0.25">
      <c r="A42" s="159" t="s">
        <v>136</v>
      </c>
      <c r="B42" s="775"/>
      <c r="C42" s="164"/>
      <c r="D42" s="839">
        <f>VLOOKUP($B$5,'New Finbud Primary &amp; Secondary'!$B:$BC,50,FALSE)</f>
        <v>4010442.8106298302</v>
      </c>
      <c r="E42" s="110"/>
      <c r="F42" s="834">
        <v>1</v>
      </c>
      <c r="G42" s="1055">
        <f>F42*D42</f>
        <v>4010442.8106298302</v>
      </c>
    </row>
    <row r="43" spans="1:7" ht="12.75" customHeight="1" x14ac:dyDescent="0.2">
      <c r="A43" s="778"/>
      <c r="B43" s="779"/>
      <c r="C43" s="1358" t="s">
        <v>987</v>
      </c>
      <c r="D43" s="1358"/>
      <c r="E43" s="1358"/>
      <c r="F43" s="850" t="s">
        <v>104</v>
      </c>
      <c r="G43" s="859" t="s">
        <v>97</v>
      </c>
    </row>
    <row r="44" spans="1:7" ht="27" customHeight="1" x14ac:dyDescent="0.2">
      <c r="A44" s="159" t="s">
        <v>987</v>
      </c>
      <c r="B44" s="775"/>
      <c r="C44" s="164"/>
      <c r="D44" s="839">
        <f>VLOOKUP($B$5,'New Finbud Primary &amp; Secondary'!$B:$BC,51,FALSE)</f>
        <v>-377864</v>
      </c>
      <c r="E44" s="110"/>
      <c r="F44" s="834">
        <v>1</v>
      </c>
      <c r="G44" s="1055">
        <f>F44*D44</f>
        <v>-377864</v>
      </c>
    </row>
    <row r="45" spans="1:7" ht="13.5" thickBot="1" x14ac:dyDescent="0.25">
      <c r="A45" s="860"/>
      <c r="B45" s="861"/>
      <c r="C45" s="861"/>
      <c r="D45" s="861"/>
      <c r="E45" s="861"/>
      <c r="F45" s="861"/>
      <c r="G45" s="862"/>
    </row>
    <row r="46" spans="1:7" ht="30" customHeight="1" thickBot="1" x14ac:dyDescent="0.3">
      <c r="A46" s="1046" t="s">
        <v>1332</v>
      </c>
      <c r="B46" s="1047"/>
      <c r="C46" s="1047"/>
      <c r="D46" s="1048">
        <f>G12+G22+G24+G26+G28+G29+G31+G32+G34+G36+G38+G40+G42+G44</f>
        <v>142691678.40932453</v>
      </c>
      <c r="E46" s="1049"/>
      <c r="F46" s="1053"/>
      <c r="G46" s="1048">
        <f>D46</f>
        <v>142691678.40932453</v>
      </c>
    </row>
    <row r="47" spans="1:7" x14ac:dyDescent="0.2">
      <c r="A47" s="160"/>
      <c r="B47" s="1339"/>
      <c r="C47" s="49"/>
      <c r="D47" s="49"/>
      <c r="E47" s="49"/>
      <c r="F47" s="49"/>
      <c r="G47" s="863"/>
    </row>
    <row r="48" spans="1:7" ht="15.75" x14ac:dyDescent="0.25">
      <c r="A48" s="851" t="s">
        <v>1399</v>
      </c>
      <c r="B48" s="1344" t="s">
        <v>1031</v>
      </c>
      <c r="C48" s="1344"/>
      <c r="D48" s="1344"/>
      <c r="E48" s="44"/>
      <c r="F48" s="44"/>
      <c r="G48" s="864"/>
    </row>
    <row r="49" spans="1:7" ht="13.5" thickBot="1" x14ac:dyDescent="0.25">
      <c r="A49" s="51"/>
      <c r="B49" s="44"/>
      <c r="C49" s="44"/>
      <c r="D49" s="44"/>
      <c r="E49" s="44"/>
      <c r="F49" s="44"/>
      <c r="G49" s="864"/>
    </row>
    <row r="50" spans="1:7" x14ac:dyDescent="0.2">
      <c r="A50" s="778"/>
      <c r="B50" s="779"/>
      <c r="C50" s="1358"/>
      <c r="D50" s="1358"/>
      <c r="E50" s="1358"/>
      <c r="F50" s="850" t="s">
        <v>104</v>
      </c>
      <c r="G50" s="865" t="s">
        <v>97</v>
      </c>
    </row>
    <row r="51" spans="1:7" ht="21" customHeight="1" x14ac:dyDescent="0.2">
      <c r="A51" s="157" t="s">
        <v>1476</v>
      </c>
      <c r="B51" s="162"/>
      <c r="C51" s="164"/>
      <c r="D51" s="838">
        <f>VLOOKUP($B$5,'New Finbud Primary &amp; Secondary'!B:EU,56,FALSE)</f>
        <v>1338156.0000000005</v>
      </c>
      <c r="E51" s="110"/>
      <c r="F51" s="843">
        <v>1</v>
      </c>
      <c r="G51" s="1055">
        <f>F51*D51</f>
        <v>1338156.0000000005</v>
      </c>
    </row>
    <row r="52" spans="1:7" x14ac:dyDescent="0.2">
      <c r="A52" s="51"/>
      <c r="B52" s="44"/>
      <c r="C52" s="44"/>
      <c r="D52" s="44"/>
      <c r="E52" s="44"/>
      <c r="F52" s="44"/>
      <c r="G52" s="864"/>
    </row>
    <row r="53" spans="1:7" ht="15.75" customHeight="1" x14ac:dyDescent="0.25">
      <c r="A53" s="851" t="s">
        <v>1399</v>
      </c>
      <c r="B53" s="1344" t="s">
        <v>1481</v>
      </c>
      <c r="C53" s="1344"/>
      <c r="D53" s="1344"/>
      <c r="E53" s="44"/>
      <c r="F53" s="44"/>
      <c r="G53" s="864"/>
    </row>
    <row r="54" spans="1:7" ht="15.75" customHeight="1" thickBot="1" x14ac:dyDescent="0.25">
      <c r="A54" s="51"/>
      <c r="B54" s="44"/>
      <c r="C54" s="44"/>
      <c r="D54" s="44"/>
      <c r="E54" s="44"/>
      <c r="F54" s="44"/>
      <c r="G54" s="864"/>
    </row>
    <row r="55" spans="1:7" ht="15.75" customHeight="1" x14ac:dyDescent="0.2">
      <c r="A55" s="778"/>
      <c r="B55" s="779"/>
      <c r="C55" s="1358"/>
      <c r="D55" s="1358"/>
      <c r="E55" s="1358"/>
      <c r="F55" s="850" t="s">
        <v>104</v>
      </c>
      <c r="G55" s="865" t="s">
        <v>97</v>
      </c>
    </row>
    <row r="56" spans="1:7" ht="15.75" customHeight="1" x14ac:dyDescent="0.2">
      <c r="A56" s="157" t="s">
        <v>1482</v>
      </c>
      <c r="B56" s="162"/>
      <c r="C56" s="164"/>
      <c r="D56" s="838">
        <f>VLOOKUP($B$5,'New Finbud Primary &amp; Secondary'!B:EU,65,FALSE)</f>
        <v>224811</v>
      </c>
      <c r="E56" s="110"/>
      <c r="F56" s="843">
        <v>1</v>
      </c>
      <c r="G56" s="1055">
        <f>F56*D56</f>
        <v>224811</v>
      </c>
    </row>
    <row r="57" spans="1:7" ht="15.75" customHeight="1" x14ac:dyDescent="0.2">
      <c r="A57" s="51"/>
      <c r="B57" s="44"/>
      <c r="C57" s="44"/>
      <c r="D57" s="44"/>
      <c r="E57" s="44"/>
      <c r="F57" s="44"/>
      <c r="G57" s="864"/>
    </row>
    <row r="58" spans="1:7" ht="15.75" customHeight="1" x14ac:dyDescent="0.25">
      <c r="A58" s="851" t="s">
        <v>1399</v>
      </c>
      <c r="B58" s="1344" t="s">
        <v>1483</v>
      </c>
      <c r="C58" s="1344"/>
      <c r="D58" s="1344"/>
      <c r="E58" s="44"/>
      <c r="F58" s="44"/>
      <c r="G58" s="864"/>
    </row>
    <row r="59" spans="1:7" ht="15.75" customHeight="1" thickBot="1" x14ac:dyDescent="0.25">
      <c r="A59" s="51"/>
      <c r="B59" s="44"/>
      <c r="C59" s="44"/>
      <c r="D59" s="44"/>
      <c r="E59" s="44"/>
      <c r="F59" s="44"/>
      <c r="G59" s="864"/>
    </row>
    <row r="60" spans="1:7" ht="15.75" customHeight="1" x14ac:dyDescent="0.2">
      <c r="A60" s="778"/>
      <c r="B60" s="779"/>
      <c r="C60" s="1358"/>
      <c r="D60" s="1358"/>
      <c r="E60" s="1358"/>
      <c r="F60" s="850" t="s">
        <v>104</v>
      </c>
      <c r="G60" s="865" t="s">
        <v>97</v>
      </c>
    </row>
    <row r="61" spans="1:7" ht="15.75" customHeight="1" x14ac:dyDescent="0.2">
      <c r="A61" s="157" t="s">
        <v>1483</v>
      </c>
      <c r="B61" s="162"/>
      <c r="C61" s="164"/>
      <c r="D61" s="838">
        <f>VLOOKUP($B$5,'New Finbud Primary &amp; Secondary'!B:EU,66,FALSE)</f>
        <v>63248</v>
      </c>
      <c r="E61" s="110"/>
      <c r="F61" s="843">
        <v>1</v>
      </c>
      <c r="G61" s="1055">
        <f>F61*D61</f>
        <v>63248</v>
      </c>
    </row>
    <row r="62" spans="1:7" ht="15.75" customHeight="1" x14ac:dyDescent="0.2">
      <c r="A62" s="51"/>
      <c r="B62" s="44"/>
      <c r="C62" s="44"/>
      <c r="D62" s="44"/>
      <c r="E62" s="44"/>
      <c r="F62" s="44"/>
      <c r="G62" s="864"/>
    </row>
    <row r="63" spans="1:7" ht="15.75" x14ac:dyDescent="0.25">
      <c r="A63" s="851"/>
      <c r="B63" s="1344" t="s">
        <v>1060</v>
      </c>
      <c r="C63" s="1344"/>
      <c r="D63" s="1344"/>
      <c r="E63" s="44"/>
      <c r="F63" s="44"/>
      <c r="G63" s="864"/>
    </row>
    <row r="64" spans="1:7" ht="13.5" thickBot="1" x14ac:dyDescent="0.25">
      <c r="A64" s="51"/>
      <c r="B64" s="44"/>
      <c r="C64" s="44"/>
      <c r="D64" s="44"/>
      <c r="E64" s="44"/>
      <c r="F64" s="44"/>
      <c r="G64" s="864"/>
    </row>
    <row r="65" spans="1:7" ht="12.75" customHeight="1" x14ac:dyDescent="0.2">
      <c r="A65" s="778"/>
      <c r="B65" s="779"/>
      <c r="C65" s="1358" t="s">
        <v>1061</v>
      </c>
      <c r="D65" s="1358"/>
      <c r="E65" s="1358"/>
      <c r="F65" s="850" t="s">
        <v>104</v>
      </c>
      <c r="G65" s="859" t="s">
        <v>97</v>
      </c>
    </row>
    <row r="66" spans="1:7" ht="27" customHeight="1" thickBot="1" x14ac:dyDescent="0.25">
      <c r="A66" s="157" t="s">
        <v>794</v>
      </c>
      <c r="B66" s="775" t="s">
        <v>1067</v>
      </c>
      <c r="C66" s="164"/>
      <c r="D66" s="838">
        <f>VLOOKUP($B$5,'New Finbud Primary &amp; Secondary'!B:EU,58,FALSE)</f>
        <v>1116175.2353122123</v>
      </c>
      <c r="E66" s="110"/>
      <c r="F66" s="843">
        <v>1</v>
      </c>
      <c r="G66" s="1055">
        <f>F66*D66</f>
        <v>1116175.2353122123</v>
      </c>
    </row>
    <row r="67" spans="1:7" ht="12.75" customHeight="1" x14ac:dyDescent="0.2">
      <c r="A67" s="778"/>
      <c r="B67" s="779"/>
      <c r="C67" s="1358" t="s">
        <v>1351</v>
      </c>
      <c r="D67" s="1358"/>
      <c r="E67" s="1358"/>
      <c r="F67" s="850" t="s">
        <v>104</v>
      </c>
      <c r="G67" s="1146" t="s">
        <v>97</v>
      </c>
    </row>
    <row r="68" spans="1:7" ht="27" customHeight="1" thickBot="1" x14ac:dyDescent="0.25">
      <c r="A68" s="159" t="s">
        <v>1064</v>
      </c>
      <c r="B68" s="775" t="s">
        <v>1067</v>
      </c>
      <c r="C68" s="164"/>
      <c r="D68" s="838">
        <f>VLOOKUP($B$5,'New Finbud Primary &amp; Secondary'!B:EU,59,FALSE)</f>
        <v>54058.297518374005</v>
      </c>
      <c r="E68" s="110"/>
      <c r="F68" s="834">
        <v>1</v>
      </c>
      <c r="G68" s="1055">
        <f>F68*D68</f>
        <v>54058.297518374005</v>
      </c>
    </row>
    <row r="69" spans="1:7" ht="12.75" customHeight="1" x14ac:dyDescent="0.2">
      <c r="A69" s="778"/>
      <c r="B69" s="779"/>
      <c r="C69" s="1358" t="s">
        <v>1062</v>
      </c>
      <c r="D69" s="1358"/>
      <c r="E69" s="1358"/>
      <c r="F69" s="850" t="s">
        <v>104</v>
      </c>
      <c r="G69" s="1146" t="s">
        <v>97</v>
      </c>
    </row>
    <row r="70" spans="1:7" ht="27" customHeight="1" thickBot="1" x14ac:dyDescent="0.25">
      <c r="A70" s="159" t="s">
        <v>1033</v>
      </c>
      <c r="B70" s="775" t="s">
        <v>1067</v>
      </c>
      <c r="C70" s="164"/>
      <c r="D70" s="838">
        <f>VLOOKUP($B$5,'New Finbud Primary &amp; Secondary'!B:EU,60,FALSE)</f>
        <v>626349</v>
      </c>
      <c r="E70" s="110"/>
      <c r="F70" s="834">
        <v>1</v>
      </c>
      <c r="G70" s="1055">
        <f>F70*D70</f>
        <v>626349</v>
      </c>
    </row>
    <row r="71" spans="1:7" ht="12.75" customHeight="1" x14ac:dyDescent="0.2">
      <c r="A71" s="778"/>
      <c r="B71" s="779"/>
      <c r="C71" s="1358" t="s">
        <v>1063</v>
      </c>
      <c r="D71" s="1358"/>
      <c r="E71" s="1358"/>
      <c r="F71" s="850" t="s">
        <v>104</v>
      </c>
      <c r="G71" s="1146" t="s">
        <v>97</v>
      </c>
    </row>
    <row r="72" spans="1:7" ht="27" customHeight="1" thickBot="1" x14ac:dyDescent="0.25">
      <c r="A72" s="159" t="s">
        <v>1059</v>
      </c>
      <c r="B72" s="775" t="s">
        <v>1067</v>
      </c>
      <c r="C72" s="164"/>
      <c r="D72" s="838">
        <f>VLOOKUP($B$5,'New Finbud Primary &amp; Secondary'!B:EU,61,FALSE)</f>
        <v>9507</v>
      </c>
      <c r="E72" s="110"/>
      <c r="F72" s="834">
        <v>1</v>
      </c>
      <c r="G72" s="1055">
        <f>F72*D72</f>
        <v>9507</v>
      </c>
    </row>
    <row r="73" spans="1:7" ht="12.75" customHeight="1" x14ac:dyDescent="0.2">
      <c r="A73" s="778"/>
      <c r="B73" s="779"/>
      <c r="C73" s="1358" t="s">
        <v>1469</v>
      </c>
      <c r="D73" s="1358"/>
      <c r="E73" s="1358"/>
      <c r="F73" s="850" t="s">
        <v>104</v>
      </c>
      <c r="G73" s="1146" t="s">
        <v>97</v>
      </c>
    </row>
    <row r="74" spans="1:7" ht="27" customHeight="1" thickBot="1" x14ac:dyDescent="0.25">
      <c r="A74" s="159" t="s">
        <v>1404</v>
      </c>
      <c r="B74" s="775" t="s">
        <v>1067</v>
      </c>
      <c r="C74" s="164"/>
      <c r="D74" s="838">
        <f>VLOOKUP(B$5,'ERS Breakdown'!C:L,3,FALSE)</f>
        <v>2680000</v>
      </c>
      <c r="E74" s="110"/>
      <c r="F74" s="834">
        <v>1</v>
      </c>
      <c r="G74" s="1055">
        <f>F74*D74</f>
        <v>2680000</v>
      </c>
    </row>
    <row r="75" spans="1:7" ht="12.75" customHeight="1" x14ac:dyDescent="0.2">
      <c r="A75" s="778"/>
      <c r="B75" s="779"/>
      <c r="C75" s="1358" t="s">
        <v>1477</v>
      </c>
      <c r="D75" s="1358"/>
      <c r="E75" s="1358"/>
      <c r="F75" s="850" t="s">
        <v>104</v>
      </c>
      <c r="G75" s="1146" t="s">
        <v>97</v>
      </c>
    </row>
    <row r="76" spans="1:7" ht="27" customHeight="1" thickBot="1" x14ac:dyDescent="0.25">
      <c r="A76" s="159" t="s">
        <v>1402</v>
      </c>
      <c r="B76" s="775" t="s">
        <v>1067</v>
      </c>
      <c r="C76" s="164"/>
      <c r="D76" s="838">
        <f>VLOOKUP(B$5,'ERS Breakdown'!C:L,5,FALSE)</f>
        <v>20000</v>
      </c>
      <c r="E76" s="110"/>
      <c r="F76" s="834">
        <v>1</v>
      </c>
      <c r="G76" s="1055">
        <f>F76*D76</f>
        <v>20000</v>
      </c>
    </row>
    <row r="77" spans="1:7" ht="12.75" customHeight="1" x14ac:dyDescent="0.2">
      <c r="A77" s="778"/>
      <c r="B77" s="779"/>
      <c r="C77" s="1358" t="s">
        <v>1408</v>
      </c>
      <c r="D77" s="1358"/>
      <c r="E77" s="1358"/>
      <c r="F77" s="850" t="s">
        <v>104</v>
      </c>
      <c r="G77" s="1146" t="s">
        <v>97</v>
      </c>
    </row>
    <row r="78" spans="1:7" ht="27" customHeight="1" thickBot="1" x14ac:dyDescent="0.25">
      <c r="A78" s="159" t="s">
        <v>1400</v>
      </c>
      <c r="B78" s="775" t="s">
        <v>1067</v>
      </c>
      <c r="C78" s="164"/>
      <c r="D78" s="838">
        <f>VLOOKUP(B$5,'ERS Breakdown'!C:L,7,FALSE)</f>
        <v>1359364.3927867119</v>
      </c>
      <c r="E78" s="110"/>
      <c r="F78" s="834">
        <v>1</v>
      </c>
      <c r="G78" s="1055">
        <f>F78*D78</f>
        <v>1359364.3927867119</v>
      </c>
    </row>
    <row r="79" spans="1:7" ht="12.75" customHeight="1" x14ac:dyDescent="0.2">
      <c r="A79" s="778"/>
      <c r="B79" s="779"/>
      <c r="C79" s="1358" t="s">
        <v>1478</v>
      </c>
      <c r="D79" s="1358"/>
      <c r="E79" s="1358"/>
      <c r="F79" s="850" t="s">
        <v>104</v>
      </c>
      <c r="G79" s="1146" t="s">
        <v>97</v>
      </c>
    </row>
    <row r="80" spans="1:7" ht="27" customHeight="1" thickBot="1" x14ac:dyDescent="0.25">
      <c r="A80" s="159" t="s">
        <v>1401</v>
      </c>
      <c r="B80" s="775" t="s">
        <v>1067</v>
      </c>
      <c r="C80" s="164"/>
      <c r="D80" s="838">
        <f>VLOOKUP(B$5,'ERS Breakdown'!C:L,8,FALSE)</f>
        <v>76721.400435157018</v>
      </c>
      <c r="E80" s="110"/>
      <c r="F80" s="834">
        <v>1</v>
      </c>
      <c r="G80" s="1055">
        <f>F80*D80</f>
        <v>76721.400435157018</v>
      </c>
    </row>
    <row r="81" spans="1:8" x14ac:dyDescent="0.2">
      <c r="A81" s="778"/>
      <c r="B81" s="779"/>
      <c r="C81" s="1358" t="s">
        <v>1479</v>
      </c>
      <c r="D81" s="1358"/>
      <c r="E81" s="1358"/>
      <c r="F81" s="850" t="s">
        <v>104</v>
      </c>
      <c r="G81" s="1146" t="s">
        <v>97</v>
      </c>
    </row>
    <row r="82" spans="1:8" ht="27" customHeight="1" thickBot="1" x14ac:dyDescent="0.25">
      <c r="A82" s="159" t="s">
        <v>1403</v>
      </c>
      <c r="B82" s="775" t="s">
        <v>1067</v>
      </c>
      <c r="C82" s="164"/>
      <c r="D82" s="838">
        <f>VLOOKUP(B$5,'ERS Breakdown'!C:L,9,FALSE)</f>
        <v>363853.48570236255</v>
      </c>
      <c r="E82" s="110"/>
      <c r="F82" s="834">
        <v>1</v>
      </c>
      <c r="G82" s="1055">
        <f>F82*D82</f>
        <v>363853.48570236255</v>
      </c>
    </row>
    <row r="83" spans="1:8" ht="13.5" thickBot="1" x14ac:dyDescent="0.25">
      <c r="A83" s="778"/>
      <c r="B83" s="1044"/>
      <c r="C83" s="1358"/>
      <c r="D83" s="1358"/>
      <c r="E83" s="1358"/>
      <c r="F83" s="1045"/>
      <c r="G83" s="859" t="s">
        <v>97</v>
      </c>
    </row>
    <row r="84" spans="1:8" ht="30" customHeight="1" thickBot="1" x14ac:dyDescent="0.3">
      <c r="A84" s="1046" t="s">
        <v>1331</v>
      </c>
      <c r="B84" s="1179"/>
      <c r="C84" s="1047"/>
      <c r="D84" s="1048">
        <f>D66+D68+D70+D72+D74+D76+D78+D80+D82</f>
        <v>6306028.8117548181</v>
      </c>
      <c r="E84" s="1049"/>
      <c r="F84" s="1050"/>
      <c r="G84" s="1340">
        <f>G66+G68+G70+G72+G74+G76+G78+G80+G82</f>
        <v>6306028.8117548181</v>
      </c>
      <c r="H84" s="1194"/>
    </row>
    <row r="85" spans="1:8" ht="15" x14ac:dyDescent="0.2">
      <c r="A85" s="51"/>
      <c r="B85" s="44"/>
      <c r="C85" s="44"/>
      <c r="D85" s="44"/>
      <c r="E85" s="44"/>
      <c r="F85" s="44"/>
      <c r="G85" s="864"/>
      <c r="H85" s="1019"/>
    </row>
    <row r="86" spans="1:8" ht="15.75" x14ac:dyDescent="0.25">
      <c r="A86" s="51"/>
      <c r="B86" s="1344" t="s">
        <v>1066</v>
      </c>
      <c r="C86" s="1344"/>
      <c r="D86" s="1344"/>
      <c r="E86" s="44"/>
      <c r="F86" s="44"/>
      <c r="G86" s="864"/>
      <c r="H86" s="1019"/>
    </row>
    <row r="87" spans="1:8" ht="15" customHeight="1" x14ac:dyDescent="0.25">
      <c r="A87" s="51"/>
      <c r="B87" s="1021"/>
      <c r="C87" s="1021"/>
      <c r="D87" s="1021"/>
      <c r="E87" s="44"/>
      <c r="F87" s="44"/>
      <c r="G87" s="864"/>
      <c r="H87" s="1019"/>
    </row>
    <row r="88" spans="1:8" ht="27" customHeight="1" x14ac:dyDescent="0.25">
      <c r="A88" s="1385" t="s">
        <v>1069</v>
      </c>
      <c r="B88" s="1385"/>
      <c r="C88" s="1018"/>
      <c r="D88" s="1038"/>
      <c r="E88" s="1178" t="s">
        <v>1272</v>
      </c>
      <c r="F88" s="1038"/>
      <c r="G88" s="893" t="s">
        <v>1273</v>
      </c>
    </row>
    <row r="89" spans="1:8" ht="27" customHeight="1" x14ac:dyDescent="0.2">
      <c r="A89" s="1379" t="s">
        <v>1271</v>
      </c>
      <c r="B89" s="1379"/>
      <c r="C89" s="1380"/>
      <c r="D89" s="892"/>
      <c r="E89" s="1041" t="str">
        <f>VLOOKUP(A89,'Names for List'!A:D,3,FALSE)</f>
        <v>ALL</v>
      </c>
      <c r="F89" s="1038"/>
      <c r="G89" s="1041">
        <f>VLOOKUP(A89,'Names for List'!A:D,4,FALSE)</f>
        <v>0</v>
      </c>
    </row>
    <row r="90" spans="1:8" ht="13.5" customHeight="1" x14ac:dyDescent="0.2">
      <c r="A90" s="1039"/>
      <c r="B90" s="1040"/>
      <c r="C90" s="892"/>
      <c r="D90" s="892"/>
      <c r="E90" s="892"/>
      <c r="F90" s="892"/>
      <c r="G90" s="894"/>
    </row>
    <row r="91" spans="1:8" ht="47.25" customHeight="1" x14ac:dyDescent="0.25">
      <c r="A91" s="1381" t="s">
        <v>1328</v>
      </c>
      <c r="B91" s="1382"/>
      <c r="C91" s="895" t="s">
        <v>1274</v>
      </c>
      <c r="D91" s="896" t="s">
        <v>1276</v>
      </c>
      <c r="E91" s="896"/>
      <c r="F91" s="896"/>
      <c r="G91" s="1024" t="s">
        <v>1277</v>
      </c>
    </row>
    <row r="92" spans="1:8" ht="27" customHeight="1" x14ac:dyDescent="0.25">
      <c r="A92" s="1025" t="s">
        <v>1278</v>
      </c>
      <c r="B92" s="897">
        <v>3.5636999999999999</v>
      </c>
      <c r="C92" s="1383" t="s">
        <v>1279</v>
      </c>
      <c r="D92" s="898">
        <f>VLOOKUP($E$89,'VLookup Info for Print Sheet'!C:H,6,FALSE)</f>
        <v>1130070</v>
      </c>
      <c r="E92" s="898"/>
      <c r="F92" s="1020"/>
      <c r="G92" s="1147">
        <f>D92*B92</f>
        <v>4027230.4589999998</v>
      </c>
    </row>
    <row r="93" spans="1:8" ht="27" customHeight="1" x14ac:dyDescent="0.25">
      <c r="A93" s="1025" t="s">
        <v>1280</v>
      </c>
      <c r="B93" s="897">
        <v>5.5246000000000004</v>
      </c>
      <c r="C93" s="1384"/>
      <c r="D93" s="898">
        <f>VLOOKUP($E$89,'VLookup Info for Print Sheet'!C:I,7,FALSE)</f>
        <v>304146</v>
      </c>
      <c r="E93" s="898"/>
      <c r="F93" s="1020"/>
      <c r="G93" s="1147">
        <f>D93*B93</f>
        <v>1680284.9916000001</v>
      </c>
    </row>
    <row r="94" spans="1:8" ht="27" customHeight="1" x14ac:dyDescent="0.25">
      <c r="A94" s="1025" t="s">
        <v>1281</v>
      </c>
      <c r="B94" s="900">
        <f>3.6058989272</f>
        <v>3.6058989272000002</v>
      </c>
      <c r="C94" s="1384"/>
      <c r="D94" s="898">
        <f>VLOOKUP($E$89,'VLookup Info for Print Sheet'!C:J,8,FALSE)</f>
        <v>321560</v>
      </c>
      <c r="E94" s="898"/>
      <c r="F94" s="1020"/>
      <c r="G94" s="1147">
        <f>D94*B94</f>
        <v>1159512.8590304321</v>
      </c>
    </row>
    <row r="95" spans="1:8" ht="27" customHeight="1" thickBot="1" x14ac:dyDescent="0.3">
      <c r="A95" s="1025" t="s">
        <v>1282</v>
      </c>
      <c r="B95" s="900">
        <f>3.6058989272</f>
        <v>3.6058989272000002</v>
      </c>
      <c r="C95" s="1384"/>
      <c r="D95" s="898">
        <f>VLOOKUP($E$89,'VLookup Info for Print Sheet'!C:K,9,FALSE)</f>
        <v>706126.89473684214</v>
      </c>
      <c r="E95" s="898"/>
      <c r="F95" s="1020"/>
      <c r="G95" s="1147">
        <f>D95*B95</f>
        <v>2546222.2121986463</v>
      </c>
    </row>
    <row r="96" spans="1:8" ht="27" customHeight="1" x14ac:dyDescent="0.2">
      <c r="A96" s="1026" t="s">
        <v>1329</v>
      </c>
      <c r="B96" s="901" t="s">
        <v>1274</v>
      </c>
      <c r="C96" s="902" t="s">
        <v>1275</v>
      </c>
      <c r="D96" s="901" t="s">
        <v>1276</v>
      </c>
      <c r="E96" s="901" t="s">
        <v>1283</v>
      </c>
      <c r="F96" s="901"/>
      <c r="G96" s="1027" t="s">
        <v>1277</v>
      </c>
    </row>
    <row r="97" spans="1:9" ht="27" customHeight="1" x14ac:dyDescent="0.2">
      <c r="A97" s="1028" t="s">
        <v>290</v>
      </c>
      <c r="B97" s="903">
        <v>0.2036</v>
      </c>
      <c r="C97" s="904" t="s">
        <v>1279</v>
      </c>
      <c r="D97" s="899">
        <f>VLOOKUP($E$89,'2013-14 Early Years'!C:AO,9,FALSE)</f>
        <v>87831.105263157893</v>
      </c>
      <c r="E97" s="898">
        <f>VLOOKUP($E$89,'VLookup Info for Print Sheet'!C:M,11,FALSE)</f>
        <v>38</v>
      </c>
      <c r="F97" s="1020"/>
      <c r="G97" s="1147">
        <f>E97*D97*B97</f>
        <v>679531.69519999996</v>
      </c>
    </row>
    <row r="98" spans="1:9" ht="27" customHeight="1" x14ac:dyDescent="0.2">
      <c r="A98" s="1029" t="s">
        <v>637</v>
      </c>
      <c r="B98" s="903">
        <v>1.7611399999999999</v>
      </c>
      <c r="C98" s="904" t="s">
        <v>1279</v>
      </c>
      <c r="D98" s="899">
        <f>VLOOKUP($E$89,'2013-14 Early Years'!C:AO,15,FALSE)</f>
        <v>1977.9984210526318</v>
      </c>
      <c r="E98" s="898">
        <f>VLOOKUP($E$89,'VLookup Info for Print Sheet'!C:M,11,FALSE)</f>
        <v>38</v>
      </c>
      <c r="F98" s="1020"/>
      <c r="G98" s="1147">
        <f>E98*D98*B98</f>
        <v>132374.2212916</v>
      </c>
    </row>
    <row r="99" spans="1:9" ht="27" customHeight="1" thickBot="1" x14ac:dyDescent="0.25">
      <c r="A99" s="1029" t="s">
        <v>780</v>
      </c>
      <c r="B99" s="903">
        <v>0.2036</v>
      </c>
      <c r="C99" s="904" t="s">
        <v>1279</v>
      </c>
      <c r="D99" s="899">
        <f>VLOOKUP($E$89,'2013-14 Early Years'!C:AO,19,FALSE)</f>
        <v>11610.552631578948</v>
      </c>
      <c r="E99" s="898">
        <f>VLOOKUP($E$89,'VLookup Info for Print Sheet'!C:M,11,FALSE)</f>
        <v>38</v>
      </c>
      <c r="F99" s="1020"/>
      <c r="G99" s="1147">
        <f>E99*D99*B99</f>
        <v>89828.523600000015</v>
      </c>
    </row>
    <row r="100" spans="1:9" ht="27" customHeight="1" x14ac:dyDescent="0.2">
      <c r="A100" s="1030" t="s">
        <v>1330</v>
      </c>
      <c r="B100" s="905" t="s">
        <v>1274</v>
      </c>
      <c r="C100" s="906" t="s">
        <v>1284</v>
      </c>
      <c r="D100" s="905" t="s">
        <v>1276</v>
      </c>
      <c r="E100" s="905"/>
      <c r="F100" s="905"/>
      <c r="G100" s="1031" t="s">
        <v>1277</v>
      </c>
    </row>
    <row r="101" spans="1:9" ht="27" customHeight="1" x14ac:dyDescent="0.2">
      <c r="A101" s="1032" t="s">
        <v>1285</v>
      </c>
      <c r="B101" s="907">
        <v>0</v>
      </c>
      <c r="C101" s="904" t="s">
        <v>1286</v>
      </c>
      <c r="D101" s="898">
        <v>0</v>
      </c>
      <c r="E101" s="908"/>
      <c r="F101" s="908"/>
      <c r="G101" s="1147">
        <f>IF(A89="ALL PVI","80,000",0)</f>
        <v>0</v>
      </c>
    </row>
    <row r="102" spans="1:9" ht="27" customHeight="1" thickBot="1" x14ac:dyDescent="0.25">
      <c r="A102" s="1033"/>
      <c r="B102" s="909"/>
      <c r="C102" s="904" t="s">
        <v>1287</v>
      </c>
      <c r="D102" s="910"/>
      <c r="E102" s="910"/>
      <c r="F102" s="916"/>
      <c r="G102" s="1147" t="str">
        <f>IF(A89="Total ALL","£80,000",0)</f>
        <v>£80,000</v>
      </c>
    </row>
    <row r="103" spans="1:9" ht="27" customHeight="1" x14ac:dyDescent="0.2">
      <c r="A103" s="1034" t="s">
        <v>1288</v>
      </c>
      <c r="B103" s="911" t="s">
        <v>1274</v>
      </c>
      <c r="C103" s="912" t="s">
        <v>1275</v>
      </c>
      <c r="D103" s="911" t="s">
        <v>1276</v>
      </c>
      <c r="E103" s="911"/>
      <c r="F103" s="911"/>
      <c r="G103" s="1035" t="s">
        <v>1277</v>
      </c>
    </row>
    <row r="104" spans="1:9" ht="27" customHeight="1" x14ac:dyDescent="0.2">
      <c r="A104" s="1036" t="s">
        <v>1289</v>
      </c>
      <c r="B104" s="899">
        <v>100000</v>
      </c>
      <c r="C104" s="904" t="s">
        <v>1286</v>
      </c>
      <c r="D104" s="898">
        <f>VLOOKUP($E$89,'VLookup Info for Print Sheet'!C:P,13,FALSE)</f>
        <v>8</v>
      </c>
      <c r="E104" s="908"/>
      <c r="F104" s="908"/>
      <c r="G104" s="1147">
        <f t="shared" ref="G104:G109" si="1">D104*B104</f>
        <v>800000</v>
      </c>
    </row>
    <row r="105" spans="1:9" ht="27" customHeight="1" x14ac:dyDescent="0.2">
      <c r="A105" s="1032" t="s">
        <v>1290</v>
      </c>
      <c r="B105" s="899">
        <f>VLOOKUP($E$89,'2013-14 Early Years'!$C:$AO,29,FALSE)</f>
        <v>33966.442860000003</v>
      </c>
      <c r="C105" s="904" t="s">
        <v>1279</v>
      </c>
      <c r="D105" s="913">
        <v>1</v>
      </c>
      <c r="E105" s="914"/>
      <c r="F105" s="914"/>
      <c r="G105" s="1147">
        <f t="shared" si="1"/>
        <v>33966.442860000003</v>
      </c>
      <c r="H105" s="751"/>
    </row>
    <row r="106" spans="1:9" ht="27" customHeight="1" x14ac:dyDescent="0.2">
      <c r="A106" s="1033" t="s">
        <v>1291</v>
      </c>
      <c r="B106" s="899">
        <f>VLOOKUP($E$89,'2013-14 Early Years'!$C:$AO,25,FALSE)</f>
        <v>168620</v>
      </c>
      <c r="C106" s="915" t="s">
        <v>1279</v>
      </c>
      <c r="D106" s="913">
        <v>1</v>
      </c>
      <c r="E106" s="916"/>
      <c r="F106" s="916"/>
      <c r="G106" s="1147">
        <f t="shared" si="1"/>
        <v>168620</v>
      </c>
      <c r="H106" s="751"/>
    </row>
    <row r="107" spans="1:9" ht="27" customHeight="1" x14ac:dyDescent="0.2">
      <c r="A107" s="1033" t="s">
        <v>1292</v>
      </c>
      <c r="B107" s="899">
        <f>VLOOKUP($E$89,'2013-14 Early Years'!$C:$AO,27,FALSE)</f>
        <v>64996</v>
      </c>
      <c r="C107" s="915" t="s">
        <v>1279</v>
      </c>
      <c r="D107" s="913">
        <v>1</v>
      </c>
      <c r="E107" s="916"/>
      <c r="F107" s="916"/>
      <c r="G107" s="1147">
        <f t="shared" si="1"/>
        <v>64996</v>
      </c>
      <c r="H107" s="751"/>
    </row>
    <row r="108" spans="1:9" ht="27" customHeight="1" x14ac:dyDescent="0.2">
      <c r="A108" s="1033" t="s">
        <v>1293</v>
      </c>
      <c r="B108" s="899">
        <f>VLOOKUP($E$89,'2013-14 Early Years'!$C:$AO,31,FALSE)</f>
        <v>10511</v>
      </c>
      <c r="C108" s="915" t="s">
        <v>1279</v>
      </c>
      <c r="D108" s="913">
        <v>1</v>
      </c>
      <c r="E108" s="916"/>
      <c r="F108" s="916"/>
      <c r="G108" s="1147">
        <f t="shared" si="1"/>
        <v>10511</v>
      </c>
      <c r="H108" s="1022"/>
    </row>
    <row r="109" spans="1:9" ht="27" customHeight="1" x14ac:dyDescent="0.2">
      <c r="A109" s="1032" t="s">
        <v>136</v>
      </c>
      <c r="B109" s="899">
        <v>0</v>
      </c>
      <c r="C109" s="915" t="s">
        <v>1279</v>
      </c>
      <c r="D109" s="913">
        <v>1</v>
      </c>
      <c r="E109" s="916"/>
      <c r="F109" s="916"/>
      <c r="G109" s="1147">
        <f t="shared" si="1"/>
        <v>0</v>
      </c>
      <c r="H109" s="752"/>
      <c r="I109" s="749"/>
    </row>
    <row r="110" spans="1:9" ht="27" customHeight="1" x14ac:dyDescent="0.2">
      <c r="A110" s="1033" t="s">
        <v>1294</v>
      </c>
      <c r="B110" s="899">
        <f>VLOOKUP($E$89,'2013-14 Early Years'!$C:$AO,33,FALSE)</f>
        <v>-264014</v>
      </c>
      <c r="C110" s="915" t="s">
        <v>1279</v>
      </c>
      <c r="D110" s="913">
        <v>1</v>
      </c>
      <c r="E110" s="916"/>
      <c r="F110" s="916"/>
      <c r="G110" s="1147">
        <f>D110*B110</f>
        <v>-264014</v>
      </c>
      <c r="H110" s="752"/>
      <c r="I110" s="749"/>
    </row>
    <row r="111" spans="1:9" ht="27" customHeight="1" x14ac:dyDescent="0.2">
      <c r="A111" s="1033" t="s">
        <v>972</v>
      </c>
      <c r="B111" s="917"/>
      <c r="C111" s="915"/>
      <c r="D111" s="913"/>
      <c r="E111" s="916"/>
      <c r="F111" s="916"/>
      <c r="G111" s="1147">
        <f>VLOOKUP($E$89,'2013-14 Early Years'!$C:$AO,35,FALSE)</f>
        <v>73687</v>
      </c>
      <c r="H111" s="751"/>
    </row>
    <row r="112" spans="1:9" ht="27" customHeight="1" thickBot="1" x14ac:dyDescent="0.25">
      <c r="A112" s="1033" t="s">
        <v>1021</v>
      </c>
      <c r="B112" s="917"/>
      <c r="C112" s="915"/>
      <c r="D112" s="918"/>
      <c r="E112" s="916"/>
      <c r="F112" s="916"/>
      <c r="G112" s="1148">
        <f>VLOOKUP($E$89,'2013-14 Early Years'!$C:$AO,37,FALSE)</f>
        <v>-71282.514483174091</v>
      </c>
    </row>
    <row r="113" spans="1:10" ht="30" customHeight="1" thickBot="1" x14ac:dyDescent="0.3">
      <c r="A113" s="1037" t="s">
        <v>1295</v>
      </c>
      <c r="B113" s="919"/>
      <c r="C113" s="920"/>
      <c r="D113" s="920"/>
      <c r="E113" s="920"/>
      <c r="F113" s="920"/>
      <c r="G113" s="1043">
        <f>G92+G93+G94+G95+G97+G98+G99+G101+G102+G104+G105+G106+G107+G108+G109+G110+G111+G112</f>
        <v>11211468.890297504</v>
      </c>
    </row>
    <row r="114" spans="1:10" ht="13.5" thickBot="1" x14ac:dyDescent="0.25">
      <c r="A114" s="51"/>
      <c r="B114" s="44"/>
      <c r="C114" s="44"/>
      <c r="D114" s="44"/>
      <c r="E114" s="44"/>
      <c r="F114" s="44"/>
      <c r="G114" s="52"/>
      <c r="I114" t="s">
        <v>1470</v>
      </c>
      <c r="J114" t="s">
        <v>1471</v>
      </c>
    </row>
    <row r="115" spans="1:10" ht="30" customHeight="1" thickBot="1" x14ac:dyDescent="0.3">
      <c r="A115" s="1386" t="s">
        <v>1485</v>
      </c>
      <c r="B115" s="1387"/>
      <c r="C115" s="1387"/>
      <c r="D115" s="1387"/>
      <c r="E115" s="1387"/>
      <c r="F115" s="1388"/>
      <c r="G115" s="1051">
        <f>G46+G51+G84+G56+G61</f>
        <v>150623922.22107935</v>
      </c>
      <c r="H115" s="1017"/>
      <c r="I115" s="4">
        <f>G113+G84+G51+G46</f>
        <v>161547332.11137685</v>
      </c>
      <c r="J115" s="4">
        <f>G46+G51+G84</f>
        <v>150335863.22107935</v>
      </c>
    </row>
    <row r="116" spans="1:10" ht="15" customHeight="1" thickBot="1" x14ac:dyDescent="0.3">
      <c r="A116" s="835"/>
      <c r="B116" s="836"/>
      <c r="C116" s="836"/>
      <c r="D116" s="836"/>
      <c r="E116" s="837"/>
      <c r="F116" s="837"/>
      <c r="G116" s="1042"/>
    </row>
    <row r="117" spans="1:10" ht="36" customHeight="1" thickBot="1" x14ac:dyDescent="0.3">
      <c r="A117" s="1370" t="s">
        <v>1486</v>
      </c>
      <c r="B117" s="1371"/>
      <c r="C117" s="1371"/>
      <c r="D117" s="1371"/>
      <c r="E117" s="1371"/>
      <c r="F117" s="1372"/>
      <c r="G117" s="1054">
        <f>G115-G38</f>
        <v>149173349.44919363</v>
      </c>
    </row>
    <row r="118" spans="1:10" x14ac:dyDescent="0.2">
      <c r="A118" s="1373" t="s">
        <v>1296</v>
      </c>
      <c r="B118" s="1374"/>
      <c r="C118" s="1374"/>
      <c r="D118" s="1374"/>
      <c r="E118" s="1374"/>
      <c r="F118" s="1374"/>
      <c r="G118" s="1375"/>
    </row>
    <row r="119" spans="1:10" ht="14.25" customHeight="1" thickBot="1" x14ac:dyDescent="0.25">
      <c r="A119" s="1376"/>
      <c r="B119" s="1377"/>
      <c r="C119" s="1377"/>
      <c r="D119" s="1377"/>
      <c r="E119" s="1377"/>
      <c r="F119" s="1377"/>
      <c r="G119" s="1378"/>
    </row>
    <row r="120" spans="1:10" x14ac:dyDescent="0.2">
      <c r="A120" s="160"/>
      <c r="B120" s="49"/>
      <c r="C120" s="49"/>
      <c r="D120" s="49"/>
      <c r="E120" s="49"/>
      <c r="F120" s="49"/>
      <c r="G120" s="863"/>
      <c r="I120">
        <f>4245307+234116</f>
        <v>4479423</v>
      </c>
    </row>
    <row r="121" spans="1:10" ht="15.75" x14ac:dyDescent="0.25">
      <c r="A121" s="51"/>
      <c r="B121" s="1344" t="s">
        <v>798</v>
      </c>
      <c r="C121" s="1344"/>
      <c r="D121" s="1344"/>
      <c r="E121" s="44"/>
      <c r="F121" s="44"/>
      <c r="G121" s="864"/>
      <c r="I121">
        <f>I120-4445745</f>
        <v>33678</v>
      </c>
    </row>
    <row r="122" spans="1:10" ht="13.5" thickBot="1" x14ac:dyDescent="0.25">
      <c r="A122" s="51"/>
      <c r="B122" s="44"/>
      <c r="C122" s="44"/>
      <c r="D122" s="44"/>
      <c r="E122" s="44"/>
      <c r="F122" s="44"/>
      <c r="G122" s="864"/>
    </row>
    <row r="123" spans="1:10" x14ac:dyDescent="0.2">
      <c r="A123" s="778"/>
      <c r="B123" s="779"/>
      <c r="C123" s="1358" t="s">
        <v>1480</v>
      </c>
      <c r="D123" s="1358"/>
      <c r="E123" s="1358"/>
      <c r="F123" s="850" t="s">
        <v>104</v>
      </c>
      <c r="G123" s="865" t="s">
        <v>97</v>
      </c>
    </row>
    <row r="124" spans="1:10" ht="27" customHeight="1" thickBot="1" x14ac:dyDescent="0.25">
      <c r="A124" s="1139" t="s">
        <v>1065</v>
      </c>
      <c r="B124" s="1140" t="s">
        <v>1484</v>
      </c>
      <c r="C124" s="166"/>
      <c r="D124" s="1141">
        <f>VLOOKUP($B$5,'New Finbud Primary &amp; Secondary'!B:EU,63,FALSE)</f>
        <v>4383005</v>
      </c>
      <c r="E124" s="167"/>
      <c r="F124" s="1142">
        <v>1</v>
      </c>
      <c r="G124" s="1143">
        <f>F124*D124</f>
        <v>4383005</v>
      </c>
      <c r="I124">
        <f>3626935+4038+614334+234116</f>
        <v>4479423</v>
      </c>
    </row>
  </sheetData>
  <sheetProtection password="EF5C" sheet="1" objects="1" scenarios="1"/>
  <mergeCells count="45">
    <mergeCell ref="A117:F117"/>
    <mergeCell ref="B121:D121"/>
    <mergeCell ref="C123:E123"/>
    <mergeCell ref="C75:E75"/>
    <mergeCell ref="C77:E77"/>
    <mergeCell ref="A118:G119"/>
    <mergeCell ref="A89:C89"/>
    <mergeCell ref="A91:B91"/>
    <mergeCell ref="C92:C95"/>
    <mergeCell ref="A88:B88"/>
    <mergeCell ref="A115:F115"/>
    <mergeCell ref="C71:E71"/>
    <mergeCell ref="C73:E73"/>
    <mergeCell ref="B86:D86"/>
    <mergeCell ref="C81:E81"/>
    <mergeCell ref="C83:E83"/>
    <mergeCell ref="C79:E79"/>
    <mergeCell ref="B48:D48"/>
    <mergeCell ref="B63:D63"/>
    <mergeCell ref="C65:E65"/>
    <mergeCell ref="C67:E67"/>
    <mergeCell ref="C69:E69"/>
    <mergeCell ref="C50:E50"/>
    <mergeCell ref="B53:D53"/>
    <mergeCell ref="C55:E55"/>
    <mergeCell ref="B58:D58"/>
    <mergeCell ref="C60:E60"/>
    <mergeCell ref="A14:A21"/>
    <mergeCell ref="C23:E23"/>
    <mergeCell ref="C25:E25"/>
    <mergeCell ref="B3:D3"/>
    <mergeCell ref="A9:A11"/>
    <mergeCell ref="B1:D1"/>
    <mergeCell ref="F5:G5"/>
    <mergeCell ref="F4:G4"/>
    <mergeCell ref="C43:E43"/>
    <mergeCell ref="C37:E37"/>
    <mergeCell ref="C39:E39"/>
    <mergeCell ref="C41:E41"/>
    <mergeCell ref="C27:E27"/>
    <mergeCell ref="A28:A29"/>
    <mergeCell ref="C30:E30"/>
    <mergeCell ref="A31:A32"/>
    <mergeCell ref="C33:E33"/>
    <mergeCell ref="C35:E35"/>
  </mergeCells>
  <dataValidations count="1">
    <dataValidation type="list" allowBlank="1" showInputMessage="1" showErrorMessage="1" sqref="C97:C99 C101:C102 C104:C112">
      <formula1>"Select…,per hour,per child,lump sum"</formula1>
    </dataValidation>
  </dataValidations>
  <printOptions horizontalCentered="1"/>
  <pageMargins left="0.23622047244094491" right="0.23622047244094491" top="0.55118110236220474" bottom="0.35433070866141736" header="0.31496062992125984" footer="0.31496062992125984"/>
  <pageSetup paperSize="9" scale="54" orientation="portrait" r:id="rId1"/>
  <headerFooter alignWithMargins="0">
    <oddHeader>&amp;A</oddHeader>
    <oddFooter>&amp;Z&amp;F</oddFooter>
  </headerFooter>
  <rowBreaks count="1" manualBreakCount="1">
    <brk id="61" max="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'School Lookup'!$A:$A</xm:f>
          </x14:formula1>
          <xm:sqref>B3:D3</xm:sqref>
        </x14:dataValidation>
        <x14:dataValidation type="list" allowBlank="1" showInputMessage="1" showErrorMessage="1">
          <x14:formula1>
            <xm:f>'Names for List'!$A:$A</xm:f>
          </x14:formula1>
          <xm:sqref>A89:C89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6" tint="-0.249977111117893"/>
  </sheetPr>
  <dimension ref="A1:FA154"/>
  <sheetViews>
    <sheetView zoomScaleNormal="100" workbookViewId="0">
      <pane xSplit="2" ySplit="6" topLeftCell="BL85" activePane="bottomRight" state="frozen"/>
      <selection sqref="A1:XFD1048576"/>
      <selection pane="topRight" sqref="A1:XFD1048576"/>
      <selection pane="bottomLeft" sqref="A1:XFD1048576"/>
      <selection pane="bottomRight" activeCell="BM88" sqref="BM88"/>
    </sheetView>
  </sheetViews>
  <sheetFormatPr defaultRowHeight="12.75" x14ac:dyDescent="0.2"/>
  <cols>
    <col min="1" max="1" width="50.42578125" style="62" bestFit="1" customWidth="1"/>
    <col min="2" max="2" width="9.140625" style="782"/>
    <col min="3" max="3" width="10.7109375" style="62" customWidth="1"/>
    <col min="4" max="4" width="11.42578125" style="62" customWidth="1"/>
    <col min="5" max="5" width="9.140625" style="62"/>
    <col min="6" max="6" width="11.140625" style="62" bestFit="1" customWidth="1"/>
    <col min="7" max="13" width="9.140625" style="62"/>
    <col min="14" max="14" width="16.42578125" style="120" customWidth="1"/>
    <col min="15" max="27" width="11.42578125" style="120" customWidth="1"/>
    <col min="28" max="29" width="15.140625" style="120" customWidth="1"/>
    <col min="30" max="31" width="12.5703125" style="120" customWidth="1"/>
    <col min="32" max="32" width="11" style="120" customWidth="1"/>
    <col min="33" max="33" width="18" style="120" customWidth="1"/>
    <col min="34" max="34" width="15.42578125" style="120" customWidth="1"/>
    <col min="35" max="35" width="11.5703125" style="120" customWidth="1"/>
    <col min="36" max="36" width="12.28515625" style="120" customWidth="1"/>
    <col min="37" max="37" width="15.28515625" style="120" customWidth="1"/>
    <col min="38" max="38" width="16.28515625" style="120" customWidth="1"/>
    <col min="39" max="43" width="13.85546875" style="120" customWidth="1"/>
    <col min="44" max="45" width="10.5703125" style="120" customWidth="1"/>
    <col min="46" max="46" width="10.7109375" style="120" bestFit="1" customWidth="1"/>
    <col min="47" max="47" width="10.7109375" style="120" customWidth="1"/>
    <col min="48" max="48" width="14.28515625" style="120" bestFit="1" customWidth="1"/>
    <col min="49" max="49" width="14.28515625" style="120" customWidth="1"/>
    <col min="50" max="50" width="9.28515625" style="120" customWidth="1"/>
    <col min="51" max="51" width="20" style="120" bestFit="1" customWidth="1"/>
    <col min="52" max="53" width="12.140625" style="120" customWidth="1"/>
    <col min="54" max="54" width="10.140625" style="120" customWidth="1"/>
    <col min="55" max="69" width="16.85546875" style="808" customWidth="1"/>
    <col min="70" max="73" width="16.85546875" style="62" customWidth="1"/>
    <col min="74" max="74" width="16.85546875" style="62" hidden="1" customWidth="1"/>
    <col min="75" max="76" width="9.28515625" style="62" customWidth="1"/>
    <col min="77" max="77" width="11" style="62" customWidth="1"/>
    <col min="78" max="78" width="11.140625" style="62" customWidth="1"/>
    <col min="79" max="79" width="9.7109375" style="62" customWidth="1"/>
    <col min="80" max="80" width="9.28515625" style="62" customWidth="1"/>
    <col min="81" max="82" width="9.140625" style="62" customWidth="1"/>
    <col min="83" max="83" width="11.140625" style="62" customWidth="1"/>
    <col min="84" max="84" width="12.140625" style="62" customWidth="1"/>
    <col min="85" max="85" width="9.140625" style="62" customWidth="1"/>
    <col min="86" max="86" width="10.140625" style="62" customWidth="1"/>
    <col min="87" max="87" width="13.5703125" style="62" customWidth="1"/>
    <col min="88" max="88" width="16.28515625" style="62" customWidth="1"/>
    <col min="89" max="89" width="19.5703125" style="62" customWidth="1"/>
    <col min="90" max="91" width="9.140625" style="62" customWidth="1"/>
    <col min="92" max="92" width="18.140625" style="62" customWidth="1"/>
    <col min="93" max="99" width="9.140625" style="62" customWidth="1"/>
    <col min="100" max="100" width="10.28515625" style="62" customWidth="1"/>
    <col min="101" max="102" width="11.7109375" style="62" customWidth="1"/>
    <col min="103" max="117" width="9.140625" style="62" customWidth="1"/>
    <col min="118" max="118" width="11" style="62" customWidth="1"/>
    <col min="119" max="119" width="10.85546875" style="62" customWidth="1"/>
    <col min="120" max="120" width="11.5703125" style="62" customWidth="1"/>
    <col min="121" max="121" width="9.140625" style="62" customWidth="1"/>
    <col min="122" max="122" width="11.140625" style="62" customWidth="1"/>
    <col min="123" max="124" width="12.28515625" style="62" customWidth="1"/>
    <col min="125" max="125" width="9.140625" style="62" customWidth="1"/>
    <col min="126" max="126" width="10.42578125" style="62" customWidth="1"/>
    <col min="127" max="128" width="12.42578125" style="62" customWidth="1"/>
    <col min="129" max="129" width="9.140625" style="62" customWidth="1"/>
    <col min="130" max="130" width="10.140625" style="62" customWidth="1"/>
    <col min="131" max="131" width="9.140625" style="62" customWidth="1"/>
    <col min="132" max="132" width="12.5703125" style="62" customWidth="1"/>
    <col min="133" max="134" width="9.140625" style="62" customWidth="1"/>
    <col min="135" max="135" width="12.85546875" style="62" customWidth="1"/>
    <col min="136" max="139" width="9.140625" style="62" customWidth="1"/>
    <col min="140" max="140" width="10.42578125" style="62" customWidth="1"/>
    <col min="141" max="144" width="9.140625" style="62" customWidth="1"/>
    <col min="145" max="145" width="15.28515625" style="62" customWidth="1"/>
    <col min="146" max="147" width="9.140625" style="62"/>
    <col min="148" max="148" width="11.28515625" style="62" customWidth="1"/>
    <col min="149" max="149" width="9.140625" style="62"/>
    <col min="150" max="150" width="16.85546875" style="62" customWidth="1"/>
    <col min="151" max="151" width="14.140625" style="62" customWidth="1"/>
    <col min="152" max="153" width="9.140625" style="62"/>
    <col min="154" max="154" width="13.28515625" style="62" customWidth="1"/>
    <col min="155" max="155" width="14" style="62" customWidth="1"/>
    <col min="156" max="156" width="11.140625" style="62" bestFit="1" customWidth="1"/>
    <col min="157" max="157" width="11.28515625" style="62" customWidth="1"/>
    <col min="158" max="16384" width="9.140625" style="62"/>
  </cols>
  <sheetData>
    <row r="1" spans="1:157" x14ac:dyDescent="0.2">
      <c r="A1" s="781" t="s">
        <v>243</v>
      </c>
      <c r="C1" s="783"/>
      <c r="D1" s="784"/>
      <c r="E1" s="784"/>
      <c r="F1" s="784"/>
      <c r="G1" s="784"/>
      <c r="H1" s="784"/>
      <c r="I1" s="784"/>
      <c r="J1" s="783">
        <v>2446.6118278723425</v>
      </c>
      <c r="K1" s="784"/>
      <c r="L1" s="784"/>
      <c r="M1" s="784"/>
      <c r="N1" s="122"/>
      <c r="O1" s="122">
        <v>0</v>
      </c>
      <c r="P1" s="122">
        <v>1076.69</v>
      </c>
      <c r="Q1" s="122">
        <v>135.25</v>
      </c>
      <c r="R1" s="122">
        <v>270.51</v>
      </c>
      <c r="S1" s="122">
        <v>406.28</v>
      </c>
      <c r="T1" s="122">
        <v>541.53</v>
      </c>
      <c r="U1" s="122">
        <v>1083.07</v>
      </c>
      <c r="V1" s="122">
        <v>1083.07</v>
      </c>
      <c r="W1" s="122"/>
      <c r="X1" s="122"/>
      <c r="Y1" s="122"/>
      <c r="Z1" s="122"/>
      <c r="AA1" s="122"/>
      <c r="AB1" s="122"/>
      <c r="AC1" s="122"/>
      <c r="AD1" s="122"/>
      <c r="AE1" s="122"/>
      <c r="AF1" s="122"/>
      <c r="AG1" s="122"/>
      <c r="AH1" s="122"/>
      <c r="AI1" s="122"/>
      <c r="AJ1" s="122"/>
      <c r="AK1" s="122">
        <v>932.68</v>
      </c>
      <c r="AL1" s="122">
        <v>2738.7</v>
      </c>
      <c r="AM1" s="122"/>
      <c r="AN1" s="122"/>
      <c r="AO1" s="122"/>
      <c r="AP1" s="122">
        <v>762</v>
      </c>
      <c r="AQ1" s="122"/>
      <c r="AR1" s="122"/>
      <c r="AS1" s="122">
        <v>100000</v>
      </c>
      <c r="AT1" s="122"/>
      <c r="AU1" s="122"/>
      <c r="AV1" s="122"/>
      <c r="AW1" s="122"/>
      <c r="AX1" s="122"/>
      <c r="AY1" s="122"/>
      <c r="AZ1" s="122"/>
      <c r="BA1" s="122">
        <v>73.013413092534819</v>
      </c>
      <c r="BB1" s="122">
        <v>73.013413092534819</v>
      </c>
      <c r="BC1" s="805">
        <v>8.9711820035986684E-2</v>
      </c>
      <c r="BD1" s="805"/>
      <c r="BE1" s="805"/>
      <c r="BF1" s="805"/>
      <c r="BG1" s="805"/>
      <c r="BH1" s="805"/>
      <c r="BI1" s="805"/>
      <c r="BJ1" s="805"/>
      <c r="BK1" s="805"/>
      <c r="BL1" s="805"/>
      <c r="BM1" s="805"/>
      <c r="BN1" s="805"/>
      <c r="BO1" s="805"/>
      <c r="BP1" s="805"/>
      <c r="BQ1" s="805"/>
      <c r="BR1" s="785"/>
      <c r="BS1" s="785"/>
      <c r="BT1" s="785"/>
      <c r="BU1" s="785"/>
      <c r="BV1" s="785"/>
      <c r="BW1" s="784">
        <v>145.1874962962963</v>
      </c>
      <c r="BX1" s="786">
        <v>219.49</v>
      </c>
      <c r="BY1" s="787">
        <v>265</v>
      </c>
      <c r="BZ1" s="788">
        <v>0.4</v>
      </c>
      <c r="CA1" s="788">
        <v>0.45</v>
      </c>
      <c r="CB1" s="785">
        <v>1</v>
      </c>
      <c r="CC1" s="785">
        <v>1</v>
      </c>
      <c r="CD1" s="785">
        <v>1</v>
      </c>
      <c r="CE1" s="788"/>
      <c r="CF1" s="784"/>
      <c r="CG1" s="784"/>
      <c r="CH1" s="784"/>
      <c r="CI1" s="784"/>
      <c r="CJ1" s="784"/>
      <c r="CK1" s="784"/>
      <c r="CL1" s="784"/>
      <c r="CM1" s="784"/>
      <c r="CN1" s="784"/>
      <c r="CO1" s="784"/>
      <c r="CP1" s="784"/>
      <c r="CQ1" s="784"/>
      <c r="CR1" s="784"/>
      <c r="CS1" s="784"/>
      <c r="CT1" s="784"/>
      <c r="CU1" s="784"/>
      <c r="CV1" s="784"/>
      <c r="CW1" s="784"/>
      <c r="CX1" s="784"/>
      <c r="CY1" s="784"/>
      <c r="CZ1" s="784"/>
      <c r="DA1" s="784"/>
      <c r="DB1" s="784"/>
      <c r="DC1" s="784"/>
      <c r="DD1" s="784"/>
      <c r="DE1" s="784"/>
      <c r="DF1" s="784"/>
      <c r="DG1" s="784"/>
      <c r="DH1" s="784"/>
      <c r="DN1" s="62">
        <v>73.013413092534819</v>
      </c>
      <c r="DR1" s="62">
        <v>2446.6118278723425</v>
      </c>
      <c r="EO1" s="62">
        <v>73.013413092534819</v>
      </c>
    </row>
    <row r="2" spans="1:157" x14ac:dyDescent="0.2">
      <c r="A2" s="781" t="s">
        <v>244</v>
      </c>
      <c r="C2" s="784"/>
      <c r="D2" s="784"/>
      <c r="E2" s="784"/>
      <c r="F2" s="784"/>
      <c r="G2" s="784"/>
      <c r="H2" s="784"/>
      <c r="I2" s="784"/>
      <c r="J2" s="784"/>
      <c r="K2" s="784"/>
      <c r="L2" s="784"/>
      <c r="M2" s="784"/>
      <c r="N2" s="122"/>
      <c r="O2" s="122">
        <v>0</v>
      </c>
      <c r="P2" s="122">
        <v>824.6</v>
      </c>
      <c r="Q2" s="122">
        <v>107.37</v>
      </c>
      <c r="R2" s="122">
        <v>215.24</v>
      </c>
      <c r="S2" s="122">
        <v>322.62</v>
      </c>
      <c r="T2" s="122">
        <v>429.99</v>
      </c>
      <c r="U2" s="122">
        <v>860.48</v>
      </c>
      <c r="V2" s="122">
        <v>860.48</v>
      </c>
      <c r="W2" s="122"/>
      <c r="X2" s="122"/>
      <c r="Y2" s="122"/>
      <c r="Z2" s="122"/>
      <c r="AA2" s="122"/>
      <c r="AB2" s="122"/>
      <c r="AC2" s="122"/>
      <c r="AD2" s="122"/>
      <c r="AE2" s="122"/>
      <c r="AF2" s="122"/>
      <c r="AG2" s="122"/>
      <c r="AH2" s="122">
        <v>1864.92</v>
      </c>
      <c r="AI2" s="122"/>
      <c r="AJ2" s="122"/>
      <c r="AK2" s="122"/>
      <c r="AL2" s="122"/>
      <c r="AM2" s="122"/>
      <c r="AN2" s="122"/>
      <c r="AO2" s="122"/>
      <c r="AP2" s="122"/>
      <c r="AQ2" s="122">
        <v>1793</v>
      </c>
      <c r="AR2" s="122"/>
      <c r="AS2" s="122">
        <v>100000</v>
      </c>
      <c r="AT2" s="122"/>
      <c r="AU2" s="122"/>
      <c r="AV2" s="122"/>
      <c r="AW2" s="122"/>
      <c r="AX2" s="122"/>
      <c r="AY2" s="122"/>
      <c r="AZ2" s="122"/>
      <c r="BA2" s="122"/>
      <c r="BB2" s="122"/>
      <c r="BC2" s="806"/>
      <c r="BD2" s="806"/>
      <c r="BE2" s="806"/>
      <c r="BF2" s="806"/>
      <c r="BG2" s="806"/>
      <c r="BH2" s="806"/>
      <c r="BI2" s="806"/>
      <c r="BJ2" s="806"/>
      <c r="BK2" s="806"/>
      <c r="BL2" s="806"/>
      <c r="BM2" s="806"/>
      <c r="BN2" s="806"/>
      <c r="BO2" s="806"/>
      <c r="BP2" s="806"/>
      <c r="BQ2" s="806"/>
      <c r="BR2" s="784"/>
      <c r="BS2" s="784"/>
      <c r="BT2" s="784"/>
      <c r="BU2" s="784"/>
      <c r="BV2" s="784"/>
      <c r="BW2" s="784"/>
      <c r="BX2" s="786"/>
      <c r="BY2" s="787">
        <v>265</v>
      </c>
      <c r="BZ2" s="788">
        <v>0.4</v>
      </c>
      <c r="CA2" s="788">
        <v>0.45</v>
      </c>
      <c r="CB2" s="785">
        <v>1</v>
      </c>
      <c r="CC2" s="785">
        <v>1</v>
      </c>
      <c r="CD2" s="785">
        <v>1</v>
      </c>
      <c r="CE2" s="788"/>
      <c r="CF2" s="784"/>
      <c r="CG2" s="784"/>
      <c r="CH2" s="784"/>
      <c r="CI2" s="784"/>
      <c r="CJ2" s="784"/>
      <c r="CK2" s="784"/>
      <c r="CL2" s="784"/>
      <c r="CM2" s="784"/>
      <c r="CN2" s="784"/>
      <c r="CO2" s="784"/>
      <c r="CP2" s="784"/>
      <c r="CQ2" s="784"/>
      <c r="CR2" s="784"/>
      <c r="CS2" s="784"/>
      <c r="CT2" s="784"/>
      <c r="CU2" s="784"/>
      <c r="CV2" s="784"/>
      <c r="CW2" s="784"/>
      <c r="CX2" s="784"/>
      <c r="CY2" s="784"/>
      <c r="CZ2" s="784"/>
      <c r="DA2" s="784"/>
      <c r="DB2" s="784"/>
      <c r="DC2" s="784"/>
      <c r="DD2" s="784"/>
      <c r="DE2" s="784"/>
      <c r="DF2" s="784"/>
      <c r="DG2" s="784"/>
      <c r="DH2" s="784"/>
    </row>
    <row r="3" spans="1:157" x14ac:dyDescent="0.2">
      <c r="A3" s="781" t="s">
        <v>245</v>
      </c>
      <c r="C3" s="784"/>
      <c r="D3" s="783"/>
      <c r="E3" s="784"/>
      <c r="F3" s="784"/>
      <c r="G3" s="784"/>
      <c r="H3" s="784"/>
      <c r="I3" s="784"/>
      <c r="J3" s="784"/>
      <c r="K3" s="783">
        <v>3457.5144409338454</v>
      </c>
      <c r="L3" s="784"/>
      <c r="M3" s="784"/>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v>66.1077094570079</v>
      </c>
      <c r="BB3" s="122">
        <v>66.1077094570079</v>
      </c>
      <c r="BC3" s="805">
        <v>7.6635977817762602E-2</v>
      </c>
      <c r="BD3" s="808">
        <v>-6.6066399999999996</v>
      </c>
      <c r="BE3" s="805"/>
      <c r="BF3" s="805"/>
      <c r="BG3" s="805"/>
      <c r="BH3" s="805"/>
      <c r="BI3" s="805"/>
      <c r="BJ3" s="805"/>
      <c r="BK3" s="805"/>
      <c r="BL3" s="805"/>
      <c r="BM3" s="805"/>
      <c r="BN3" s="805"/>
      <c r="BO3" s="805"/>
      <c r="BP3" s="805"/>
      <c r="BQ3" s="805"/>
      <c r="BR3" s="785"/>
      <c r="BS3" s="785"/>
      <c r="BT3" s="785"/>
      <c r="BU3" s="785"/>
      <c r="BV3" s="785"/>
      <c r="BW3" s="784">
        <v>145.1874962962963</v>
      </c>
      <c r="BX3" s="786">
        <v>264.97000000000003</v>
      </c>
      <c r="BY3" s="787">
        <v>265</v>
      </c>
      <c r="BZ3" s="784"/>
      <c r="CA3" s="784"/>
      <c r="CB3" s="784"/>
      <c r="CC3" s="784"/>
      <c r="CD3" s="784"/>
      <c r="CE3" s="788"/>
      <c r="CF3" s="784"/>
      <c r="CG3" s="784"/>
      <c r="CH3" s="784"/>
      <c r="CI3" s="784"/>
      <c r="CJ3" s="784"/>
      <c r="CK3" s="784"/>
      <c r="CL3" s="784"/>
      <c r="CM3" s="784"/>
      <c r="CN3" s="784"/>
      <c r="CO3" s="784"/>
      <c r="CP3" s="784"/>
      <c r="CQ3" s="784"/>
      <c r="CR3" s="784"/>
      <c r="CS3" s="784"/>
      <c r="CT3" s="784"/>
      <c r="CU3" s="784"/>
      <c r="CV3" s="784"/>
      <c r="CW3" s="784"/>
      <c r="CX3" s="784"/>
      <c r="CY3" s="784"/>
      <c r="CZ3" s="784"/>
      <c r="DA3" s="784"/>
      <c r="DB3" s="784"/>
      <c r="DC3" s="784"/>
      <c r="DD3" s="784"/>
      <c r="DE3" s="784"/>
      <c r="DF3" s="784"/>
      <c r="DG3" s="784"/>
      <c r="DH3" s="784"/>
      <c r="DO3" s="62">
        <v>66.1077094570079</v>
      </c>
      <c r="DS3" s="62">
        <v>3457.5144409338454</v>
      </c>
      <c r="EB3" s="701" t="s">
        <v>1000</v>
      </c>
      <c r="EO3" s="62">
        <v>59.501067947573937</v>
      </c>
    </row>
    <row r="4" spans="1:157" x14ac:dyDescent="0.2">
      <c r="A4" s="781" t="s">
        <v>246</v>
      </c>
      <c r="C4" s="783"/>
      <c r="D4" s="783"/>
      <c r="E4" s="783"/>
      <c r="F4" s="783"/>
      <c r="G4" s="783"/>
      <c r="H4" s="783"/>
      <c r="I4" s="783"/>
      <c r="J4" s="783"/>
      <c r="K4" s="783"/>
      <c r="L4" s="783">
        <v>3897.6142760268608</v>
      </c>
      <c r="M4" s="783"/>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v>66.1077094570079</v>
      </c>
      <c r="BB4" s="122">
        <v>66.1077094570079</v>
      </c>
      <c r="BC4" s="805">
        <v>6.7982612243021753E-2</v>
      </c>
      <c r="BD4" s="805"/>
      <c r="BE4" s="805"/>
      <c r="BF4" s="805"/>
      <c r="BG4" s="805"/>
      <c r="BH4" s="805"/>
      <c r="BI4" s="805"/>
      <c r="BJ4" s="805"/>
      <c r="BK4" s="805"/>
      <c r="BL4" s="805"/>
      <c r="BM4" s="805"/>
      <c r="BN4" s="805"/>
      <c r="BO4" s="805"/>
      <c r="BP4" s="805"/>
      <c r="BQ4" s="805"/>
      <c r="BR4" s="785"/>
      <c r="BS4" s="785"/>
      <c r="BT4" s="785"/>
      <c r="BU4" s="785"/>
      <c r="BV4" s="785"/>
      <c r="BW4" s="784">
        <v>145.1874962962963</v>
      </c>
      <c r="BX4" s="786">
        <v>264.97000000000003</v>
      </c>
      <c r="BY4" s="787">
        <v>265</v>
      </c>
      <c r="BZ4" s="782"/>
      <c r="CA4" s="782"/>
      <c r="CB4" s="784"/>
      <c r="CC4" s="784"/>
      <c r="CD4" s="784"/>
      <c r="CE4" s="784"/>
      <c r="CF4" s="784"/>
      <c r="CG4" s="784"/>
      <c r="CH4" s="784"/>
      <c r="CI4" s="784"/>
      <c r="CJ4" s="784"/>
      <c r="CK4" s="784"/>
      <c r="CL4" s="784"/>
      <c r="CM4" s="784"/>
      <c r="CN4" s="784"/>
      <c r="CO4" s="784"/>
      <c r="CP4" s="784"/>
      <c r="CQ4" s="784"/>
      <c r="CR4" s="784"/>
      <c r="CS4" s="784"/>
      <c r="CT4" s="784"/>
      <c r="CU4" s="784"/>
      <c r="CV4" s="784"/>
      <c r="CW4" s="784"/>
      <c r="CX4" s="784"/>
      <c r="CY4" s="784"/>
      <c r="CZ4" s="784"/>
      <c r="DA4" s="784"/>
      <c r="DB4" s="784"/>
      <c r="DC4" s="784"/>
      <c r="DD4" s="784"/>
      <c r="DE4" s="784"/>
      <c r="DF4" s="784"/>
      <c r="DG4" s="784"/>
      <c r="DH4" s="784"/>
      <c r="DP4" s="62">
        <v>66.1077094570079</v>
      </c>
      <c r="DT4" s="62">
        <v>3897.6142760268608</v>
      </c>
      <c r="EO4" s="62">
        <v>59.501067947573937</v>
      </c>
    </row>
    <row r="5" spans="1:157" x14ac:dyDescent="0.2">
      <c r="A5" s="781" t="s">
        <v>254</v>
      </c>
      <c r="C5" s="783"/>
      <c r="D5" s="783"/>
      <c r="E5" s="783"/>
      <c r="F5" s="783"/>
      <c r="G5" s="783"/>
      <c r="H5" s="783"/>
      <c r="I5" s="783"/>
      <c r="J5" s="783"/>
      <c r="K5" s="783"/>
      <c r="L5" s="783"/>
      <c r="M5" s="783"/>
      <c r="N5" s="122"/>
      <c r="O5" s="122"/>
      <c r="P5" s="122"/>
      <c r="Q5" s="122"/>
      <c r="R5" s="122"/>
      <c r="S5" s="122"/>
      <c r="T5" s="122"/>
      <c r="U5" s="122"/>
      <c r="V5" s="122"/>
      <c r="W5" s="122"/>
      <c r="X5" s="122"/>
      <c r="Y5" s="122"/>
      <c r="Z5" s="122"/>
      <c r="AA5" s="122"/>
      <c r="AB5" s="122"/>
      <c r="AC5" s="122"/>
      <c r="AD5" s="122"/>
      <c r="AE5" s="122">
        <v>1657</v>
      </c>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806"/>
      <c r="BD5" s="806"/>
      <c r="BE5" s="806"/>
      <c r="BF5" s="806"/>
      <c r="BG5" s="806"/>
      <c r="BH5" s="806"/>
      <c r="BI5" s="806"/>
      <c r="BJ5" s="806"/>
      <c r="BK5" s="806"/>
      <c r="BL5" s="806"/>
      <c r="BM5" s="806"/>
      <c r="BN5" s="806"/>
      <c r="BO5" s="806"/>
      <c r="BP5" s="806"/>
      <c r="BQ5" s="806"/>
      <c r="BR5" s="784"/>
      <c r="BS5" s="784"/>
      <c r="BT5" s="784"/>
      <c r="BU5" s="784"/>
      <c r="BV5" s="784"/>
      <c r="BW5" s="784"/>
      <c r="BX5" s="784"/>
      <c r="BY5" s="787">
        <v>23.5563</v>
      </c>
      <c r="BZ5" s="789"/>
      <c r="CA5" s="784"/>
      <c r="CB5" s="784"/>
      <c r="CC5" s="784"/>
      <c r="CD5" s="784"/>
      <c r="CE5" s="784"/>
      <c r="CF5" s="784">
        <v>143.78571428571428</v>
      </c>
      <c r="CG5" s="784"/>
      <c r="CH5" s="784"/>
      <c r="CI5" s="784"/>
      <c r="CJ5" s="784"/>
      <c r="CK5" s="784"/>
      <c r="CL5" s="784"/>
      <c r="CM5" s="784"/>
      <c r="CN5" s="784"/>
      <c r="CO5" s="784"/>
      <c r="CP5" s="784"/>
      <c r="CQ5" s="784"/>
      <c r="CR5" s="784"/>
      <c r="CS5" s="784"/>
      <c r="CT5" s="784"/>
      <c r="CU5" s="784"/>
      <c r="CV5" s="784"/>
      <c r="CW5" s="784"/>
      <c r="CX5" s="784"/>
      <c r="CY5" s="784"/>
      <c r="CZ5" s="784"/>
      <c r="DA5" s="784"/>
      <c r="DB5" s="784"/>
      <c r="DC5" s="784"/>
      <c r="DD5" s="784"/>
      <c r="DE5" s="784"/>
      <c r="DF5" s="784"/>
      <c r="DG5" s="784"/>
      <c r="DH5" s="784"/>
    </row>
    <row r="6" spans="1:157" s="111" customFormat="1" ht="83.25" customHeight="1" x14ac:dyDescent="0.2">
      <c r="A6" s="111" t="s">
        <v>2</v>
      </c>
      <c r="B6" s="144" t="s">
        <v>1</v>
      </c>
      <c r="C6" s="112" t="s">
        <v>242</v>
      </c>
      <c r="D6" s="112" t="s">
        <v>240</v>
      </c>
      <c r="E6" s="112" t="s">
        <v>241</v>
      </c>
      <c r="F6" s="112" t="s">
        <v>268</v>
      </c>
      <c r="G6" s="112" t="s">
        <v>262</v>
      </c>
      <c r="H6" s="112" t="s">
        <v>263</v>
      </c>
      <c r="I6" s="112" t="s">
        <v>264</v>
      </c>
      <c r="J6" s="111" t="s">
        <v>265</v>
      </c>
      <c r="K6" s="111" t="s">
        <v>266</v>
      </c>
      <c r="L6" s="111" t="s">
        <v>267</v>
      </c>
      <c r="M6" s="111" t="s">
        <v>269</v>
      </c>
      <c r="N6" s="790" t="s">
        <v>286</v>
      </c>
      <c r="O6" s="791" t="s">
        <v>109</v>
      </c>
      <c r="P6" s="791" t="s">
        <v>84</v>
      </c>
      <c r="Q6" s="791" t="s">
        <v>85</v>
      </c>
      <c r="R6" s="791" t="s">
        <v>86</v>
      </c>
      <c r="S6" s="791" t="s">
        <v>87</v>
      </c>
      <c r="T6" s="791" t="s">
        <v>88</v>
      </c>
      <c r="U6" s="791" t="s">
        <v>89</v>
      </c>
      <c r="V6" s="791" t="s">
        <v>90</v>
      </c>
      <c r="W6" s="792"/>
      <c r="X6" s="792" t="s">
        <v>247</v>
      </c>
      <c r="Y6" s="792" t="s">
        <v>248</v>
      </c>
      <c r="Z6" s="792" t="s">
        <v>249</v>
      </c>
      <c r="AA6" s="792" t="s">
        <v>250</v>
      </c>
      <c r="AB6" s="792" t="s">
        <v>251</v>
      </c>
      <c r="AC6" s="792" t="s">
        <v>252</v>
      </c>
      <c r="AD6" s="790" t="s">
        <v>291</v>
      </c>
      <c r="AE6" s="137" t="s">
        <v>280</v>
      </c>
      <c r="AF6" s="790" t="s">
        <v>232</v>
      </c>
      <c r="AG6" s="137" t="s">
        <v>281</v>
      </c>
      <c r="AH6" s="790" t="s">
        <v>233</v>
      </c>
      <c r="AI6" s="37" t="s">
        <v>282</v>
      </c>
      <c r="AJ6" s="37" t="s">
        <v>283</v>
      </c>
      <c r="AK6" s="137" t="s">
        <v>284</v>
      </c>
      <c r="AL6" s="137" t="s">
        <v>285</v>
      </c>
      <c r="AM6" s="790" t="s">
        <v>234</v>
      </c>
      <c r="AN6" s="37" t="s">
        <v>130</v>
      </c>
      <c r="AO6" s="37" t="s">
        <v>131</v>
      </c>
      <c r="AP6" s="37" t="s">
        <v>287</v>
      </c>
      <c r="AQ6" s="37" t="s">
        <v>288</v>
      </c>
      <c r="AR6" s="790" t="s">
        <v>235</v>
      </c>
      <c r="AS6" s="790" t="s">
        <v>236</v>
      </c>
      <c r="AT6" s="113" t="s">
        <v>237</v>
      </c>
      <c r="AU6" s="790" t="s">
        <v>238</v>
      </c>
      <c r="AV6" s="113" t="s">
        <v>239</v>
      </c>
      <c r="AW6" s="113" t="s">
        <v>261</v>
      </c>
      <c r="AX6" s="790"/>
      <c r="AY6" s="790" t="s">
        <v>336</v>
      </c>
      <c r="AZ6" s="790" t="s">
        <v>987</v>
      </c>
      <c r="BA6" s="790" t="s">
        <v>340</v>
      </c>
      <c r="BB6" s="113" t="s">
        <v>952</v>
      </c>
      <c r="BC6" s="807" t="s">
        <v>337</v>
      </c>
      <c r="BD6" s="807" t="s">
        <v>1039</v>
      </c>
      <c r="BE6" s="807" t="s">
        <v>1031</v>
      </c>
      <c r="BF6" s="807" t="s">
        <v>636</v>
      </c>
      <c r="BG6" s="807" t="s">
        <v>794</v>
      </c>
      <c r="BH6" s="807" t="s">
        <v>1032</v>
      </c>
      <c r="BI6" s="807" t="s">
        <v>1033</v>
      </c>
      <c r="BJ6" s="807" t="s">
        <v>1034</v>
      </c>
      <c r="BK6" s="807" t="s">
        <v>1036</v>
      </c>
      <c r="BL6" s="807" t="s">
        <v>1048</v>
      </c>
      <c r="BM6" s="807" t="s">
        <v>801</v>
      </c>
      <c r="BN6" s="807" t="s">
        <v>1481</v>
      </c>
      <c r="BO6" s="807" t="s">
        <v>1483</v>
      </c>
      <c r="BP6" s="807" t="s">
        <v>633</v>
      </c>
      <c r="BQ6" s="807" t="s">
        <v>1045</v>
      </c>
      <c r="BR6" s="111" t="s">
        <v>1041</v>
      </c>
      <c r="BS6" s="111" t="s">
        <v>1046</v>
      </c>
      <c r="BT6" s="111" t="s">
        <v>1040</v>
      </c>
      <c r="BU6" s="111" t="s">
        <v>1043</v>
      </c>
      <c r="BV6" s="111" t="s">
        <v>1041</v>
      </c>
      <c r="BY6" s="111" t="s">
        <v>603</v>
      </c>
      <c r="BZ6" s="111" t="s">
        <v>605</v>
      </c>
      <c r="CA6" s="111" t="s">
        <v>604</v>
      </c>
      <c r="CB6" s="111" t="s">
        <v>606</v>
      </c>
      <c r="CC6" s="111" t="s">
        <v>608</v>
      </c>
      <c r="CD6" s="111" t="s">
        <v>607</v>
      </c>
      <c r="CE6" s="111" t="s">
        <v>609</v>
      </c>
      <c r="CF6" s="111" t="s">
        <v>617</v>
      </c>
      <c r="CH6" s="111" t="s">
        <v>1010</v>
      </c>
      <c r="CI6" s="111" t="s">
        <v>1011</v>
      </c>
      <c r="CJ6" s="111" t="s">
        <v>253</v>
      </c>
      <c r="CK6" s="111" t="s">
        <v>372</v>
      </c>
      <c r="CN6" s="111" t="s">
        <v>954</v>
      </c>
      <c r="CV6" s="111" t="s">
        <v>936</v>
      </c>
      <c r="CW6" s="111" t="s">
        <v>937</v>
      </c>
      <c r="CX6" s="111" t="s">
        <v>938</v>
      </c>
      <c r="CZ6" s="111" t="s">
        <v>939</v>
      </c>
      <c r="DA6" s="111" t="s">
        <v>940</v>
      </c>
      <c r="DB6" s="111" t="s">
        <v>941</v>
      </c>
      <c r="DC6" s="111" t="s">
        <v>942</v>
      </c>
      <c r="DD6" s="111" t="s">
        <v>943</v>
      </c>
      <c r="DE6" s="111" t="s">
        <v>944</v>
      </c>
      <c r="DF6" s="111" t="s">
        <v>945</v>
      </c>
      <c r="DG6" s="111" t="s">
        <v>946</v>
      </c>
      <c r="DH6" s="111" t="s">
        <v>947</v>
      </c>
      <c r="DI6" s="111" t="s">
        <v>948</v>
      </c>
      <c r="DJ6" s="111" t="s">
        <v>949</v>
      </c>
      <c r="DK6" s="111" t="s">
        <v>950</v>
      </c>
      <c r="DN6" s="111" t="s">
        <v>958</v>
      </c>
      <c r="DO6" s="111" t="s">
        <v>959</v>
      </c>
      <c r="DP6" s="111" t="s">
        <v>960</v>
      </c>
      <c r="DR6" s="111" t="s">
        <v>265</v>
      </c>
      <c r="DS6" s="111" t="s">
        <v>266</v>
      </c>
      <c r="DT6" s="111" t="s">
        <v>267</v>
      </c>
      <c r="DV6" s="111" t="s">
        <v>955</v>
      </c>
      <c r="DW6" s="111" t="s">
        <v>957</v>
      </c>
      <c r="DX6" s="111" t="s">
        <v>956</v>
      </c>
      <c r="DZ6" s="111" t="s">
        <v>1009</v>
      </c>
      <c r="EB6" s="111" t="s">
        <v>988</v>
      </c>
      <c r="EC6" s="111" t="s">
        <v>1004</v>
      </c>
      <c r="ED6" s="111" t="s">
        <v>990</v>
      </c>
      <c r="EE6" s="111" t="s">
        <v>989</v>
      </c>
      <c r="EF6" s="111" t="s">
        <v>1003</v>
      </c>
      <c r="EG6" s="111" t="s">
        <v>990</v>
      </c>
      <c r="EI6" s="111" t="s">
        <v>991</v>
      </c>
      <c r="EJ6" s="111" t="s">
        <v>992</v>
      </c>
      <c r="EK6" s="111" t="s">
        <v>1006</v>
      </c>
      <c r="EL6" s="111" t="s">
        <v>995</v>
      </c>
      <c r="EO6" s="111" t="s">
        <v>1021</v>
      </c>
      <c r="ER6" s="111" t="s">
        <v>1023</v>
      </c>
      <c r="ET6" s="111" t="s">
        <v>1026</v>
      </c>
      <c r="EU6" s="111" t="s">
        <v>1025</v>
      </c>
      <c r="EV6" s="111" t="s">
        <v>1027</v>
      </c>
      <c r="EX6" s="111" t="s">
        <v>1029</v>
      </c>
      <c r="EY6" s="111" t="s">
        <v>1028</v>
      </c>
      <c r="FA6" s="111" t="s">
        <v>1030</v>
      </c>
    </row>
    <row r="7" spans="1:157" s="814" customFormat="1" ht="12.75" customHeight="1" x14ac:dyDescent="0.2">
      <c r="A7" s="815" t="s">
        <v>304</v>
      </c>
      <c r="B7" s="44">
        <v>1014</v>
      </c>
      <c r="C7" s="817"/>
      <c r="D7" s="817"/>
      <c r="E7" s="817"/>
      <c r="F7" s="817"/>
      <c r="G7" s="817"/>
      <c r="H7" s="817"/>
      <c r="I7" s="817"/>
      <c r="J7" s="817"/>
      <c r="K7" s="817"/>
      <c r="L7" s="817"/>
      <c r="M7" s="817"/>
      <c r="N7" s="818"/>
      <c r="O7" s="819"/>
      <c r="P7" s="819"/>
      <c r="Q7" s="819"/>
      <c r="R7" s="819"/>
      <c r="S7" s="819"/>
      <c r="T7" s="819"/>
      <c r="U7" s="819"/>
      <c r="V7" s="819"/>
      <c r="W7" s="819"/>
      <c r="X7" s="819"/>
      <c r="Y7" s="819"/>
      <c r="Z7" s="819"/>
      <c r="AA7" s="819"/>
      <c r="AB7" s="819"/>
      <c r="AC7" s="819"/>
      <c r="AD7" s="818"/>
      <c r="AE7" s="818"/>
      <c r="AF7" s="818"/>
      <c r="AG7" s="818"/>
      <c r="AH7" s="818"/>
      <c r="AI7" s="820"/>
      <c r="AJ7" s="820"/>
      <c r="AK7" s="818"/>
      <c r="AL7" s="818"/>
      <c r="AM7" s="818"/>
      <c r="AN7" s="820"/>
      <c r="AO7" s="820"/>
      <c r="AP7" s="820"/>
      <c r="AQ7" s="820"/>
      <c r="AR7" s="818"/>
      <c r="AS7" s="818"/>
      <c r="AT7" s="819"/>
      <c r="AU7" s="818"/>
      <c r="AV7" s="819"/>
      <c r="AW7" s="819"/>
      <c r="AX7" s="818"/>
      <c r="AY7" s="818"/>
      <c r="AZ7" s="818"/>
      <c r="BA7" s="818"/>
      <c r="BB7" s="819"/>
      <c r="BC7" s="821">
        <v>0</v>
      </c>
      <c r="BD7" s="821"/>
      <c r="BE7" s="821"/>
      <c r="BF7" s="821"/>
      <c r="BG7" s="821"/>
      <c r="BH7" s="821"/>
      <c r="BI7" s="821"/>
      <c r="BJ7" s="821"/>
      <c r="BK7" s="821"/>
      <c r="BL7" s="821"/>
      <c r="BM7" s="821">
        <v>274332.22612000006</v>
      </c>
      <c r="BN7" s="821"/>
      <c r="BO7" s="821"/>
      <c r="BP7" s="808">
        <v>274332.22612000006</v>
      </c>
      <c r="BQ7" s="808"/>
      <c r="BR7" s="814">
        <v>0</v>
      </c>
      <c r="BS7" s="814">
        <v>0</v>
      </c>
      <c r="BT7" s="814">
        <v>301248.98181544081</v>
      </c>
      <c r="BU7" s="814">
        <v>-26916.755695440748</v>
      </c>
      <c r="BV7" s="814">
        <v>0</v>
      </c>
      <c r="BW7" s="814">
        <v>0</v>
      </c>
    </row>
    <row r="8" spans="1:157" s="814" customFormat="1" ht="12.75" customHeight="1" x14ac:dyDescent="0.2">
      <c r="A8" s="815" t="s">
        <v>305</v>
      </c>
      <c r="B8" s="44">
        <v>1017</v>
      </c>
      <c r="C8" s="817"/>
      <c r="D8" s="817"/>
      <c r="E8" s="817"/>
      <c r="F8" s="817"/>
      <c r="G8" s="817"/>
      <c r="H8" s="817"/>
      <c r="I8" s="817"/>
      <c r="J8" s="817"/>
      <c r="K8" s="817"/>
      <c r="L8" s="817"/>
      <c r="M8" s="817"/>
      <c r="N8" s="818"/>
      <c r="O8" s="819"/>
      <c r="P8" s="819"/>
      <c r="Q8" s="819"/>
      <c r="R8" s="819"/>
      <c r="S8" s="819"/>
      <c r="T8" s="819"/>
      <c r="U8" s="819"/>
      <c r="V8" s="819"/>
      <c r="W8" s="819"/>
      <c r="X8" s="819"/>
      <c r="Y8" s="819"/>
      <c r="Z8" s="819"/>
      <c r="AA8" s="819"/>
      <c r="AB8" s="819"/>
      <c r="AC8" s="819"/>
      <c r="AD8" s="818"/>
      <c r="AE8" s="818"/>
      <c r="AF8" s="818"/>
      <c r="AG8" s="818"/>
      <c r="AH8" s="818"/>
      <c r="AI8" s="820"/>
      <c r="AJ8" s="820"/>
      <c r="AK8" s="818"/>
      <c r="AL8" s="818"/>
      <c r="AM8" s="818"/>
      <c r="AN8" s="820"/>
      <c r="AO8" s="820"/>
      <c r="AP8" s="820"/>
      <c r="AQ8" s="820"/>
      <c r="AR8" s="818"/>
      <c r="AS8" s="818"/>
      <c r="AT8" s="819"/>
      <c r="AU8" s="818"/>
      <c r="AV8" s="819"/>
      <c r="AW8" s="819"/>
      <c r="AX8" s="818"/>
      <c r="AY8" s="818"/>
      <c r="AZ8" s="818"/>
      <c r="BA8" s="818"/>
      <c r="BB8" s="819"/>
      <c r="BC8" s="821">
        <v>0</v>
      </c>
      <c r="BD8" s="821"/>
      <c r="BE8" s="821"/>
      <c r="BF8" s="821"/>
      <c r="BG8" s="821"/>
      <c r="BH8" s="821"/>
      <c r="BI8" s="821"/>
      <c r="BJ8" s="821"/>
      <c r="BK8" s="821"/>
      <c r="BL8" s="821"/>
      <c r="BM8" s="821">
        <v>153552.31545999998</v>
      </c>
      <c r="BN8" s="821"/>
      <c r="BO8" s="821"/>
      <c r="BP8" s="808">
        <v>153552.31545999998</v>
      </c>
      <c r="BQ8" s="808"/>
      <c r="BR8" s="814">
        <v>0</v>
      </c>
      <c r="BS8" s="814">
        <v>0</v>
      </c>
      <c r="BT8" s="814">
        <v>253030.57997333969</v>
      </c>
      <c r="BU8" s="814">
        <v>-99478.264513339702</v>
      </c>
      <c r="BV8" s="814">
        <v>0</v>
      </c>
      <c r="BW8" s="814">
        <v>0</v>
      </c>
    </row>
    <row r="9" spans="1:157" s="814" customFormat="1" ht="12.75" customHeight="1" x14ac:dyDescent="0.2">
      <c r="A9" s="815" t="s">
        <v>306</v>
      </c>
      <c r="B9" s="44">
        <v>1006</v>
      </c>
      <c r="C9" s="817"/>
      <c r="D9" s="817"/>
      <c r="E9" s="817"/>
      <c r="F9" s="817"/>
      <c r="G9" s="817"/>
      <c r="H9" s="817"/>
      <c r="I9" s="817"/>
      <c r="J9" s="817"/>
      <c r="K9" s="817"/>
      <c r="L9" s="817"/>
      <c r="M9" s="817"/>
      <c r="N9" s="818"/>
      <c r="O9" s="819"/>
      <c r="P9" s="819"/>
      <c r="Q9" s="819"/>
      <c r="R9" s="819"/>
      <c r="S9" s="819"/>
      <c r="T9" s="819"/>
      <c r="U9" s="819"/>
      <c r="V9" s="819"/>
      <c r="W9" s="819"/>
      <c r="X9" s="819"/>
      <c r="Y9" s="819"/>
      <c r="Z9" s="819"/>
      <c r="AA9" s="819"/>
      <c r="AB9" s="819"/>
      <c r="AC9" s="819"/>
      <c r="AD9" s="818"/>
      <c r="AE9" s="818"/>
      <c r="AF9" s="818"/>
      <c r="AG9" s="818"/>
      <c r="AH9" s="818"/>
      <c r="AI9" s="820"/>
      <c r="AJ9" s="820"/>
      <c r="AK9" s="818"/>
      <c r="AL9" s="818"/>
      <c r="AM9" s="818"/>
      <c r="AN9" s="820"/>
      <c r="AO9" s="820"/>
      <c r="AP9" s="820"/>
      <c r="AQ9" s="820"/>
      <c r="AR9" s="818"/>
      <c r="AS9" s="818"/>
      <c r="AT9" s="819"/>
      <c r="AU9" s="818"/>
      <c r="AV9" s="819"/>
      <c r="AW9" s="819"/>
      <c r="AX9" s="818"/>
      <c r="AY9" s="818"/>
      <c r="AZ9" s="818"/>
      <c r="BA9" s="818"/>
      <c r="BB9" s="819"/>
      <c r="BC9" s="821">
        <v>0</v>
      </c>
      <c r="BD9" s="821"/>
      <c r="BE9" s="821"/>
      <c r="BF9" s="821"/>
      <c r="BG9" s="821"/>
      <c r="BH9" s="821"/>
      <c r="BI9" s="821"/>
      <c r="BJ9" s="821"/>
      <c r="BK9" s="821"/>
      <c r="BL9" s="821"/>
      <c r="BM9" s="821">
        <v>436453.26244000002</v>
      </c>
      <c r="BN9" s="821"/>
      <c r="BO9" s="821"/>
      <c r="BP9" s="808">
        <v>436453.26244000002</v>
      </c>
      <c r="BQ9" s="808"/>
      <c r="BR9" s="814">
        <v>0</v>
      </c>
      <c r="BS9" s="814">
        <v>0</v>
      </c>
      <c r="BT9" s="814">
        <v>462581.39975274791</v>
      </c>
      <c r="BU9" s="814">
        <v>-26128.137312747887</v>
      </c>
      <c r="BV9" s="814">
        <v>0</v>
      </c>
      <c r="BW9" s="814">
        <v>0</v>
      </c>
    </row>
    <row r="10" spans="1:157" s="814" customFormat="1" ht="12.75" customHeight="1" x14ac:dyDescent="0.2">
      <c r="A10" s="816" t="s">
        <v>307</v>
      </c>
      <c r="B10" s="44">
        <v>1008</v>
      </c>
      <c r="C10" s="817"/>
      <c r="D10" s="817"/>
      <c r="E10" s="817"/>
      <c r="F10" s="817"/>
      <c r="G10" s="817"/>
      <c r="H10" s="817"/>
      <c r="I10" s="817"/>
      <c r="J10" s="817"/>
      <c r="K10" s="817"/>
      <c r="L10" s="817"/>
      <c r="M10" s="817"/>
      <c r="N10" s="818"/>
      <c r="O10" s="819"/>
      <c r="P10" s="819"/>
      <c r="Q10" s="819"/>
      <c r="R10" s="819"/>
      <c r="S10" s="819"/>
      <c r="T10" s="819"/>
      <c r="U10" s="819"/>
      <c r="V10" s="819"/>
      <c r="W10" s="819"/>
      <c r="X10" s="819"/>
      <c r="Y10" s="819"/>
      <c r="Z10" s="819"/>
      <c r="AA10" s="819"/>
      <c r="AB10" s="819"/>
      <c r="AC10" s="819"/>
      <c r="AD10" s="818"/>
      <c r="AE10" s="818"/>
      <c r="AF10" s="818"/>
      <c r="AG10" s="818"/>
      <c r="AH10" s="818"/>
      <c r="AI10" s="820"/>
      <c r="AJ10" s="820"/>
      <c r="AK10" s="818"/>
      <c r="AL10" s="818"/>
      <c r="AM10" s="818"/>
      <c r="AN10" s="820"/>
      <c r="AO10" s="820"/>
      <c r="AP10" s="820"/>
      <c r="AQ10" s="820"/>
      <c r="AR10" s="818"/>
      <c r="AS10" s="818"/>
      <c r="AT10" s="819"/>
      <c r="AU10" s="818"/>
      <c r="AV10" s="819"/>
      <c r="AW10" s="819"/>
      <c r="AX10" s="818"/>
      <c r="AY10" s="818"/>
      <c r="AZ10" s="818"/>
      <c r="BA10" s="818"/>
      <c r="BB10" s="819"/>
      <c r="BC10" s="821">
        <v>0</v>
      </c>
      <c r="BD10" s="821"/>
      <c r="BE10" s="821"/>
      <c r="BF10" s="821"/>
      <c r="BG10" s="821"/>
      <c r="BH10" s="821"/>
      <c r="BI10" s="821"/>
      <c r="BJ10" s="821"/>
      <c r="BK10" s="821"/>
      <c r="BL10" s="821"/>
      <c r="BM10" s="821">
        <v>405900.48487999995</v>
      </c>
      <c r="BN10" s="821"/>
      <c r="BO10" s="821"/>
      <c r="BP10" s="808">
        <v>405900.48487999995</v>
      </c>
      <c r="BQ10" s="808"/>
      <c r="BR10" s="814">
        <v>0</v>
      </c>
      <c r="BS10" s="814">
        <v>0</v>
      </c>
      <c r="BT10" s="814">
        <v>408205.37289982417</v>
      </c>
      <c r="BU10" s="814">
        <v>-2304.8880198242259</v>
      </c>
      <c r="BV10" s="814">
        <v>0</v>
      </c>
      <c r="BW10" s="814">
        <v>0</v>
      </c>
    </row>
    <row r="11" spans="1:157" s="814" customFormat="1" ht="12.75" customHeight="1" x14ac:dyDescent="0.2">
      <c r="A11" s="816" t="s">
        <v>308</v>
      </c>
      <c r="B11" s="44">
        <v>1005</v>
      </c>
      <c r="C11" s="817"/>
      <c r="D11" s="817"/>
      <c r="E11" s="817"/>
      <c r="F11" s="817"/>
      <c r="G11" s="817"/>
      <c r="H11" s="817"/>
      <c r="I11" s="817"/>
      <c r="J11" s="817"/>
      <c r="K11" s="817"/>
      <c r="L11" s="817"/>
      <c r="M11" s="817"/>
      <c r="N11" s="818"/>
      <c r="O11" s="819"/>
      <c r="P11" s="819"/>
      <c r="Q11" s="819"/>
      <c r="R11" s="819"/>
      <c r="S11" s="819"/>
      <c r="T11" s="819"/>
      <c r="U11" s="819"/>
      <c r="V11" s="819"/>
      <c r="W11" s="819"/>
      <c r="X11" s="819"/>
      <c r="Y11" s="819"/>
      <c r="Z11" s="819"/>
      <c r="AA11" s="819"/>
      <c r="AB11" s="819"/>
      <c r="AC11" s="819"/>
      <c r="AD11" s="818"/>
      <c r="AE11" s="818"/>
      <c r="AF11" s="818"/>
      <c r="AG11" s="818"/>
      <c r="AH11" s="818"/>
      <c r="AI11" s="820"/>
      <c r="AJ11" s="820"/>
      <c r="AK11" s="818"/>
      <c r="AL11" s="818"/>
      <c r="AM11" s="818"/>
      <c r="AN11" s="820"/>
      <c r="AO11" s="820"/>
      <c r="AP11" s="820"/>
      <c r="AQ11" s="820"/>
      <c r="AR11" s="818"/>
      <c r="AS11" s="818"/>
      <c r="AT11" s="819"/>
      <c r="AU11" s="818"/>
      <c r="AV11" s="819"/>
      <c r="AW11" s="819"/>
      <c r="AX11" s="818"/>
      <c r="AY11" s="818"/>
      <c r="AZ11" s="818"/>
      <c r="BA11" s="818"/>
      <c r="BB11" s="819"/>
      <c r="BC11" s="821">
        <v>0</v>
      </c>
      <c r="BD11" s="821"/>
      <c r="BE11" s="821"/>
      <c r="BF11" s="821"/>
      <c r="BG11" s="821"/>
      <c r="BH11" s="821"/>
      <c r="BI11" s="821"/>
      <c r="BJ11" s="821"/>
      <c r="BK11" s="821"/>
      <c r="BL11" s="821"/>
      <c r="BM11" s="821">
        <v>527449.40304</v>
      </c>
      <c r="BN11" s="821"/>
      <c r="BO11" s="821"/>
      <c r="BP11" s="808">
        <v>527449.40304</v>
      </c>
      <c r="BQ11" s="808"/>
      <c r="BR11" s="814">
        <v>0</v>
      </c>
      <c r="BS11" s="814">
        <v>0</v>
      </c>
      <c r="BT11" s="814">
        <v>508673.30182953324</v>
      </c>
      <c r="BU11" s="814">
        <v>18776.101210466761</v>
      </c>
      <c r="BV11" s="814">
        <v>0</v>
      </c>
      <c r="BW11" s="814">
        <v>0</v>
      </c>
    </row>
    <row r="12" spans="1:157" s="814" customFormat="1" ht="12.75" customHeight="1" x14ac:dyDescent="0.2">
      <c r="A12" s="816" t="s">
        <v>309</v>
      </c>
      <c r="B12" s="44">
        <v>1010</v>
      </c>
      <c r="C12" s="817"/>
      <c r="D12" s="817"/>
      <c r="E12" s="817"/>
      <c r="F12" s="817"/>
      <c r="G12" s="817"/>
      <c r="H12" s="817"/>
      <c r="I12" s="817"/>
      <c r="J12" s="817"/>
      <c r="K12" s="817"/>
      <c r="L12" s="817"/>
      <c r="M12" s="817"/>
      <c r="N12" s="818"/>
      <c r="O12" s="819"/>
      <c r="P12" s="819"/>
      <c r="Q12" s="819"/>
      <c r="R12" s="819"/>
      <c r="S12" s="819"/>
      <c r="T12" s="819"/>
      <c r="U12" s="819"/>
      <c r="V12" s="819"/>
      <c r="W12" s="819"/>
      <c r="X12" s="819"/>
      <c r="Y12" s="819"/>
      <c r="Z12" s="819"/>
      <c r="AA12" s="819"/>
      <c r="AB12" s="819"/>
      <c r="AC12" s="819"/>
      <c r="AD12" s="818"/>
      <c r="AE12" s="818"/>
      <c r="AF12" s="818"/>
      <c r="AG12" s="818"/>
      <c r="AH12" s="818"/>
      <c r="AI12" s="820"/>
      <c r="AJ12" s="820"/>
      <c r="AK12" s="818"/>
      <c r="AL12" s="818"/>
      <c r="AM12" s="818"/>
      <c r="AN12" s="820"/>
      <c r="AO12" s="820"/>
      <c r="AP12" s="820"/>
      <c r="AQ12" s="820"/>
      <c r="AR12" s="818"/>
      <c r="AS12" s="818"/>
      <c r="AT12" s="819"/>
      <c r="AU12" s="818"/>
      <c r="AV12" s="819"/>
      <c r="AW12" s="819"/>
      <c r="AX12" s="818"/>
      <c r="AY12" s="818"/>
      <c r="AZ12" s="818"/>
      <c r="BA12" s="818"/>
      <c r="BB12" s="819"/>
      <c r="BC12" s="821">
        <v>0</v>
      </c>
      <c r="BD12" s="821"/>
      <c r="BE12" s="821"/>
      <c r="BF12" s="821"/>
      <c r="BG12" s="821"/>
      <c r="BH12" s="821"/>
      <c r="BI12" s="821"/>
      <c r="BJ12" s="821"/>
      <c r="BK12" s="821"/>
      <c r="BL12" s="821"/>
      <c r="BM12" s="821">
        <v>331896.76456000004</v>
      </c>
      <c r="BN12" s="821"/>
      <c r="BO12" s="821"/>
      <c r="BP12" s="808">
        <v>331896.76456000004</v>
      </c>
      <c r="BQ12" s="808"/>
      <c r="BR12" s="814">
        <v>0</v>
      </c>
      <c r="BS12" s="814">
        <v>0</v>
      </c>
      <c r="BT12" s="814">
        <v>386255.02117919794</v>
      </c>
      <c r="BU12" s="814">
        <v>-54358.256619197899</v>
      </c>
      <c r="BV12" s="814">
        <v>0</v>
      </c>
      <c r="BW12" s="814">
        <v>0</v>
      </c>
    </row>
    <row r="13" spans="1:157" s="814" customFormat="1" ht="12.75" customHeight="1" x14ac:dyDescent="0.2">
      <c r="A13" s="816" t="s">
        <v>310</v>
      </c>
      <c r="B13" s="44">
        <v>1009</v>
      </c>
      <c r="C13" s="817"/>
      <c r="D13" s="817"/>
      <c r="E13" s="817"/>
      <c r="F13" s="817"/>
      <c r="G13" s="817"/>
      <c r="H13" s="817"/>
      <c r="I13" s="817"/>
      <c r="J13" s="817"/>
      <c r="K13" s="817"/>
      <c r="L13" s="817"/>
      <c r="M13" s="817"/>
      <c r="N13" s="818"/>
      <c r="O13" s="819"/>
      <c r="P13" s="819"/>
      <c r="Q13" s="819"/>
      <c r="R13" s="819"/>
      <c r="S13" s="819"/>
      <c r="T13" s="819"/>
      <c r="U13" s="819"/>
      <c r="V13" s="819"/>
      <c r="W13" s="819"/>
      <c r="X13" s="819"/>
      <c r="Y13" s="819"/>
      <c r="Z13" s="819"/>
      <c r="AA13" s="819"/>
      <c r="AB13" s="819"/>
      <c r="AC13" s="819"/>
      <c r="AD13" s="818"/>
      <c r="AE13" s="818"/>
      <c r="AF13" s="818"/>
      <c r="AG13" s="818"/>
      <c r="AH13" s="818"/>
      <c r="AI13" s="820"/>
      <c r="AJ13" s="820"/>
      <c r="AK13" s="818"/>
      <c r="AL13" s="818"/>
      <c r="AM13" s="818"/>
      <c r="AN13" s="820"/>
      <c r="AO13" s="820"/>
      <c r="AP13" s="820"/>
      <c r="AQ13" s="820"/>
      <c r="AR13" s="818"/>
      <c r="AS13" s="818"/>
      <c r="AT13" s="819"/>
      <c r="AU13" s="818"/>
      <c r="AV13" s="819"/>
      <c r="AW13" s="819"/>
      <c r="AX13" s="818"/>
      <c r="AY13" s="818"/>
      <c r="AZ13" s="818"/>
      <c r="BA13" s="818"/>
      <c r="BB13" s="819"/>
      <c r="BC13" s="821">
        <v>0</v>
      </c>
      <c r="BD13" s="821"/>
      <c r="BE13" s="821"/>
      <c r="BF13" s="821"/>
      <c r="BG13" s="821"/>
      <c r="BH13" s="821"/>
      <c r="BI13" s="821"/>
      <c r="BJ13" s="821"/>
      <c r="BK13" s="821"/>
      <c r="BL13" s="821"/>
      <c r="BM13" s="821">
        <v>400034.50797999999</v>
      </c>
      <c r="BN13" s="821"/>
      <c r="BO13" s="821"/>
      <c r="BP13" s="808">
        <v>400034.50797999999</v>
      </c>
      <c r="BQ13" s="808"/>
      <c r="BR13" s="814">
        <v>0</v>
      </c>
      <c r="BS13" s="814">
        <v>0</v>
      </c>
      <c r="BT13" s="814">
        <v>377262.37483509514</v>
      </c>
      <c r="BU13" s="814">
        <v>22772.133144904859</v>
      </c>
      <c r="BV13" s="814">
        <v>0</v>
      </c>
      <c r="BW13" s="814">
        <v>0</v>
      </c>
    </row>
    <row r="14" spans="1:157" s="814" customFormat="1" ht="12.75" customHeight="1" x14ac:dyDescent="0.2">
      <c r="A14" s="816" t="s">
        <v>311</v>
      </c>
      <c r="B14" s="44">
        <v>1015</v>
      </c>
      <c r="C14" s="817"/>
      <c r="D14" s="817"/>
      <c r="E14" s="817"/>
      <c r="F14" s="817"/>
      <c r="G14" s="817"/>
      <c r="H14" s="817"/>
      <c r="I14" s="817"/>
      <c r="J14" s="817"/>
      <c r="K14" s="817"/>
      <c r="L14" s="817"/>
      <c r="M14" s="817"/>
      <c r="N14" s="818"/>
      <c r="O14" s="819"/>
      <c r="P14" s="819"/>
      <c r="Q14" s="819"/>
      <c r="R14" s="819"/>
      <c r="S14" s="819"/>
      <c r="T14" s="819"/>
      <c r="U14" s="819"/>
      <c r="V14" s="819"/>
      <c r="W14" s="819"/>
      <c r="X14" s="819"/>
      <c r="Y14" s="819"/>
      <c r="Z14" s="819"/>
      <c r="AA14" s="819"/>
      <c r="AB14" s="819"/>
      <c r="AC14" s="819"/>
      <c r="AD14" s="818"/>
      <c r="AE14" s="818"/>
      <c r="AF14" s="818"/>
      <c r="AG14" s="818"/>
      <c r="AH14" s="818"/>
      <c r="AI14" s="820"/>
      <c r="AJ14" s="820"/>
      <c r="AK14" s="818"/>
      <c r="AL14" s="818"/>
      <c r="AM14" s="818"/>
      <c r="AN14" s="820"/>
      <c r="AO14" s="820"/>
      <c r="AP14" s="820"/>
      <c r="AQ14" s="820"/>
      <c r="AR14" s="818"/>
      <c r="AS14" s="818"/>
      <c r="AT14" s="819"/>
      <c r="AU14" s="818"/>
      <c r="AV14" s="819"/>
      <c r="AW14" s="819"/>
      <c r="AX14" s="818"/>
      <c r="AY14" s="818"/>
      <c r="AZ14" s="818"/>
      <c r="BA14" s="818"/>
      <c r="BB14" s="819"/>
      <c r="BC14" s="821">
        <v>0</v>
      </c>
      <c r="BD14" s="821"/>
      <c r="BE14" s="821"/>
      <c r="BF14" s="821"/>
      <c r="BG14" s="821"/>
      <c r="BH14" s="821"/>
      <c r="BI14" s="821"/>
      <c r="BJ14" s="821"/>
      <c r="BK14" s="821"/>
      <c r="BL14" s="821"/>
      <c r="BM14" s="821">
        <v>299886.00737999997</v>
      </c>
      <c r="BN14" s="821"/>
      <c r="BO14" s="821"/>
      <c r="BP14" s="808">
        <v>299886.00737999997</v>
      </c>
      <c r="BQ14" s="808"/>
      <c r="BR14" s="814">
        <v>0</v>
      </c>
      <c r="BS14" s="814">
        <v>0</v>
      </c>
      <c r="BT14" s="814">
        <v>361532.26577696856</v>
      </c>
      <c r="BU14" s="814">
        <v>-61646.258396968595</v>
      </c>
      <c r="BV14" s="814">
        <v>0</v>
      </c>
      <c r="BW14" s="814">
        <v>0</v>
      </c>
    </row>
    <row r="15" spans="1:157" x14ac:dyDescent="0.2">
      <c r="A15" s="241" t="s">
        <v>3</v>
      </c>
      <c r="B15" s="793">
        <v>2400</v>
      </c>
      <c r="C15" s="241">
        <v>299</v>
      </c>
      <c r="D15" s="241">
        <v>0</v>
      </c>
      <c r="E15" s="241">
        <v>0</v>
      </c>
      <c r="F15" s="241">
        <v>299</v>
      </c>
      <c r="G15" s="241">
        <v>0</v>
      </c>
      <c r="H15" s="241">
        <v>0</v>
      </c>
      <c r="I15" s="241">
        <v>0</v>
      </c>
      <c r="J15" s="241">
        <v>299</v>
      </c>
      <c r="K15" s="241">
        <v>0</v>
      </c>
      <c r="L15" s="241">
        <v>0</v>
      </c>
      <c r="M15" s="241">
        <v>299</v>
      </c>
      <c r="N15" s="62">
        <v>731536.93653383036</v>
      </c>
      <c r="O15" s="241"/>
      <c r="P15" s="241">
        <v>200.12070000000003</v>
      </c>
      <c r="Q15" s="241">
        <v>5.9999999999999929</v>
      </c>
      <c r="R15" s="241">
        <v>2.9999999999999964</v>
      </c>
      <c r="S15" s="241">
        <v>5.0000000000000142</v>
      </c>
      <c r="T15" s="241">
        <v>128.00000000000006</v>
      </c>
      <c r="U15" s="241">
        <v>94.999999999999943</v>
      </c>
      <c r="V15" s="241">
        <v>57.000000000000085</v>
      </c>
      <c r="W15" s="241">
        <v>494.12070000000017</v>
      </c>
      <c r="X15" s="241"/>
      <c r="Y15" s="241"/>
      <c r="Z15" s="241">
        <v>215467.95648300005</v>
      </c>
      <c r="AA15" s="241"/>
      <c r="AB15" s="794">
        <v>237596.91000000006</v>
      </c>
      <c r="AC15" s="794"/>
      <c r="AD15" s="795">
        <v>453064.86648300011</v>
      </c>
      <c r="AE15" s="241">
        <v>0</v>
      </c>
      <c r="AF15" s="120">
        <v>0</v>
      </c>
      <c r="AG15" s="120">
        <v>0</v>
      </c>
      <c r="AH15" s="795">
        <v>0</v>
      </c>
      <c r="AI15" s="120">
        <v>35.830578512396798</v>
      </c>
      <c r="AJ15" s="120">
        <v>0</v>
      </c>
      <c r="AK15" s="120">
        <v>33418.463966942247</v>
      </c>
      <c r="AL15" s="120">
        <v>0</v>
      </c>
      <c r="AM15" s="795">
        <v>33418.463966942247</v>
      </c>
      <c r="AN15" s="120">
        <v>39.000000000000107</v>
      </c>
      <c r="AO15" s="120">
        <v>0</v>
      </c>
      <c r="AP15" s="795">
        <v>29718.00000000008</v>
      </c>
      <c r="AQ15" s="795">
        <v>0</v>
      </c>
      <c r="AR15" s="795">
        <v>29718.00000000008</v>
      </c>
      <c r="AS15" s="795">
        <v>100000</v>
      </c>
      <c r="AT15" s="120">
        <v>0</v>
      </c>
      <c r="AU15" s="120">
        <v>28341.040000000001</v>
      </c>
      <c r="AV15" s="120">
        <v>0</v>
      </c>
      <c r="AW15" s="120">
        <v>1376079.3069837727</v>
      </c>
      <c r="AY15" s="120">
        <v>0</v>
      </c>
      <c r="AZ15" s="120">
        <v>-13427.276512082139</v>
      </c>
      <c r="BA15" s="120">
        <v>21831.010514667913</v>
      </c>
      <c r="BB15" s="120">
        <v>21831.01</v>
      </c>
      <c r="BC15" s="821">
        <v>1384483.0409863584</v>
      </c>
      <c r="BD15" s="808">
        <v>-21831.010514667913</v>
      </c>
      <c r="BE15" s="808">
        <v>22302.6</v>
      </c>
      <c r="BG15" s="808">
        <v>0</v>
      </c>
      <c r="BM15" s="821">
        <v>0</v>
      </c>
      <c r="BN15" s="821"/>
      <c r="BP15" s="808">
        <v>1384954.6304716906</v>
      </c>
      <c r="BQ15" s="808">
        <v>299</v>
      </c>
      <c r="BR15" s="814">
        <v>257</v>
      </c>
      <c r="BS15" s="814">
        <v>42</v>
      </c>
      <c r="BT15" s="814">
        <v>1223245.5158880292</v>
      </c>
      <c r="BU15" s="814">
        <v>161709.11458366131</v>
      </c>
      <c r="BV15" s="814">
        <v>257</v>
      </c>
      <c r="BW15" s="814">
        <v>3850.2170138966981</v>
      </c>
      <c r="BY15" s="62">
        <v>79235</v>
      </c>
      <c r="BZ15" s="62">
        <v>181225.94659320006</v>
      </c>
      <c r="CA15" s="62">
        <v>15038.308785124011</v>
      </c>
      <c r="CB15" s="62">
        <v>0</v>
      </c>
      <c r="CC15" s="62">
        <v>0</v>
      </c>
      <c r="CD15" s="62">
        <v>29718.00000000008</v>
      </c>
      <c r="CE15" s="62">
        <v>305217.25537832413</v>
      </c>
      <c r="CF15" s="62">
        <v>33.91302837536935</v>
      </c>
      <c r="CH15" s="62">
        <v>258937.79302718109</v>
      </c>
      <c r="CI15" s="62">
        <v>28.770865891909011</v>
      </c>
      <c r="CJ15" s="62">
        <v>5.1421624834603392</v>
      </c>
      <c r="CK15" s="781" t="s">
        <v>615</v>
      </c>
      <c r="CN15" s="62">
        <v>1247738.2669837726</v>
      </c>
      <c r="CV15" s="62">
        <v>731536.93653383036</v>
      </c>
      <c r="CW15" s="62">
        <v>0</v>
      </c>
      <c r="CX15" s="62">
        <v>0</v>
      </c>
      <c r="CZ15" s="62">
        <v>811.49999999999909</v>
      </c>
      <c r="DA15" s="62">
        <v>811.52999999999906</v>
      </c>
      <c r="DB15" s="62">
        <v>2031.4000000000055</v>
      </c>
      <c r="DC15" s="62">
        <v>69315.840000000026</v>
      </c>
      <c r="DD15" s="62">
        <v>102891.64999999994</v>
      </c>
      <c r="DE15" s="62">
        <v>61734.990000000085</v>
      </c>
      <c r="DN15" s="62">
        <v>21831.010514667913</v>
      </c>
      <c r="DO15" s="62">
        <v>0</v>
      </c>
      <c r="DP15" s="62">
        <v>0</v>
      </c>
      <c r="DR15" s="62">
        <v>731536.93653383036</v>
      </c>
      <c r="DS15" s="62">
        <v>0</v>
      </c>
      <c r="DT15" s="62">
        <v>0</v>
      </c>
      <c r="DV15" s="62">
        <v>753367.94704849832</v>
      </c>
      <c r="DW15" s="62">
        <v>0</v>
      </c>
      <c r="DX15" s="62">
        <v>0</v>
      </c>
      <c r="DZ15" s="62">
        <v>-13427.276512082139</v>
      </c>
      <c r="EB15" s="62">
        <v>1362652.0309863584</v>
      </c>
      <c r="EC15" s="62">
        <v>299</v>
      </c>
      <c r="ED15" s="62">
        <v>4557.364652128289</v>
      </c>
      <c r="EE15" s="62">
        <v>1200564.9047579917</v>
      </c>
      <c r="EF15" s="62">
        <v>260</v>
      </c>
      <c r="EG15" s="62">
        <v>4617.5573259922758</v>
      </c>
      <c r="EI15" s="62">
        <v>-60.192673863986784</v>
      </c>
      <c r="EJ15" s="62">
        <v>162087.12622836675</v>
      </c>
      <c r="EK15" s="62" t="s">
        <v>681</v>
      </c>
      <c r="EL15" s="789">
        <v>0.13500904914511061</v>
      </c>
      <c r="EO15" s="62">
        <v>21831.010514667913</v>
      </c>
      <c r="ER15" s="62">
        <v>731536.93653383036</v>
      </c>
      <c r="ET15" s="62">
        <v>-73.013413092534819</v>
      </c>
      <c r="EX15" s="62">
        <v>1362652.0304716905</v>
      </c>
      <c r="EY15" s="62">
        <v>1334310.9904716904</v>
      </c>
      <c r="FA15" s="62">
        <v>1356142.0009863584</v>
      </c>
    </row>
    <row r="16" spans="1:157" x14ac:dyDescent="0.2">
      <c r="A16" s="241" t="s">
        <v>4</v>
      </c>
      <c r="B16" s="793">
        <v>2443</v>
      </c>
      <c r="C16" s="241">
        <v>268</v>
      </c>
      <c r="D16" s="241">
        <v>0</v>
      </c>
      <c r="E16" s="241">
        <v>0</v>
      </c>
      <c r="F16" s="241">
        <v>268</v>
      </c>
      <c r="G16" s="241">
        <v>0</v>
      </c>
      <c r="H16" s="241">
        <v>0</v>
      </c>
      <c r="I16" s="241">
        <v>0</v>
      </c>
      <c r="J16" s="241">
        <v>268</v>
      </c>
      <c r="K16" s="241">
        <v>0</v>
      </c>
      <c r="L16" s="241">
        <v>0</v>
      </c>
      <c r="M16" s="241">
        <v>268</v>
      </c>
      <c r="N16" s="62">
        <v>655691.9698697878</v>
      </c>
      <c r="O16" s="241"/>
      <c r="P16" s="241">
        <v>64.454000000000008</v>
      </c>
      <c r="Q16" s="241">
        <v>44.999999999999986</v>
      </c>
      <c r="R16" s="241">
        <v>8.9999999999999982</v>
      </c>
      <c r="S16" s="241">
        <v>31.00000000000006</v>
      </c>
      <c r="T16" s="241">
        <v>45.999999999999972</v>
      </c>
      <c r="U16" s="241">
        <v>29.00000000000011</v>
      </c>
      <c r="V16" s="241">
        <v>4.9999999999999876</v>
      </c>
      <c r="W16" s="241">
        <v>229.45400000000015</v>
      </c>
      <c r="X16" s="241"/>
      <c r="Y16" s="241"/>
      <c r="Z16" s="241">
        <v>69396.977260000014</v>
      </c>
      <c r="AA16" s="241"/>
      <c r="AB16" s="794">
        <v>82850.280000000115</v>
      </c>
      <c r="AC16" s="794"/>
      <c r="AD16" s="795">
        <v>152247.25726000013</v>
      </c>
      <c r="AE16" s="241">
        <v>1.0229007633587786</v>
      </c>
      <c r="AF16" s="120">
        <v>1694.9465648854962</v>
      </c>
      <c r="AG16" s="120">
        <v>0</v>
      </c>
      <c r="AH16" s="795">
        <v>0</v>
      </c>
      <c r="AI16" s="120">
        <v>12.112994350282499</v>
      </c>
      <c r="AJ16" s="120">
        <v>0</v>
      </c>
      <c r="AK16" s="120">
        <v>11297.54757062148</v>
      </c>
      <c r="AL16" s="120">
        <v>0</v>
      </c>
      <c r="AM16" s="795">
        <v>11297.54757062148</v>
      </c>
      <c r="AN16" s="120">
        <v>11.000000000000004</v>
      </c>
      <c r="AO16" s="120">
        <v>0</v>
      </c>
      <c r="AP16" s="795">
        <v>8382.0000000000018</v>
      </c>
      <c r="AQ16" s="795">
        <v>0</v>
      </c>
      <c r="AR16" s="795">
        <v>8382.0000000000018</v>
      </c>
      <c r="AS16" s="795">
        <v>100000</v>
      </c>
      <c r="AT16" s="120">
        <v>0</v>
      </c>
      <c r="AU16" s="120">
        <v>13813.28</v>
      </c>
      <c r="AV16" s="120">
        <v>0</v>
      </c>
      <c r="AW16" s="120">
        <v>943127.00126529485</v>
      </c>
      <c r="AY16" s="120">
        <v>37799.51805728639</v>
      </c>
      <c r="AZ16" s="120">
        <v>0</v>
      </c>
      <c r="BA16" s="120">
        <v>19567.59470879933</v>
      </c>
      <c r="BB16" s="120">
        <v>19567.59</v>
      </c>
      <c r="BC16" s="821">
        <v>1000494.1140313806</v>
      </c>
      <c r="BD16" s="808">
        <v>-19567.59470879933</v>
      </c>
      <c r="BE16" s="808">
        <v>33453.899999999994</v>
      </c>
      <c r="BG16" s="808">
        <v>10511.335628572724</v>
      </c>
      <c r="BI16" s="808">
        <v>5256</v>
      </c>
      <c r="BM16" s="821">
        <v>98367.517399999997</v>
      </c>
      <c r="BN16" s="821"/>
      <c r="BP16" s="808">
        <v>1128515.2723511539</v>
      </c>
      <c r="BQ16" s="808">
        <v>268</v>
      </c>
      <c r="BR16" s="814">
        <v>262</v>
      </c>
      <c r="BS16" s="814">
        <v>6</v>
      </c>
      <c r="BT16" s="814">
        <v>1123387.5683190755</v>
      </c>
      <c r="BU16" s="814">
        <v>5127.7040320783854</v>
      </c>
      <c r="BV16" s="814">
        <v>262</v>
      </c>
      <c r="BW16" s="814">
        <v>854.61733867973089</v>
      </c>
      <c r="BY16" s="62">
        <v>71020</v>
      </c>
      <c r="BZ16" s="62">
        <v>60898.902904000053</v>
      </c>
      <c r="CA16" s="62">
        <v>5083.896406779666</v>
      </c>
      <c r="CB16" s="62">
        <v>1694.9465648854962</v>
      </c>
      <c r="CC16" s="62">
        <v>0</v>
      </c>
      <c r="CD16" s="62">
        <v>8382.0000000000018</v>
      </c>
      <c r="CE16" s="62">
        <v>147079.74587566522</v>
      </c>
      <c r="CF16" s="62">
        <v>16.342193986185023</v>
      </c>
      <c r="CH16" s="62">
        <v>126189.20959323893</v>
      </c>
      <c r="CI16" s="62">
        <v>14.021023288137659</v>
      </c>
      <c r="CJ16" s="62">
        <v>2.3211706980473643</v>
      </c>
      <c r="CL16" s="781"/>
      <c r="CN16" s="62">
        <v>829313.72126529482</v>
      </c>
      <c r="CV16" s="62">
        <v>655691.9698697878</v>
      </c>
      <c r="CW16" s="62">
        <v>0</v>
      </c>
      <c r="CX16" s="62">
        <v>0</v>
      </c>
      <c r="CZ16" s="62">
        <v>6086.2499999999982</v>
      </c>
      <c r="DA16" s="62">
        <v>2434.5899999999992</v>
      </c>
      <c r="DB16" s="62">
        <v>12594.680000000024</v>
      </c>
      <c r="DC16" s="62">
        <v>24910.379999999983</v>
      </c>
      <c r="DD16" s="62">
        <v>31409.030000000119</v>
      </c>
      <c r="DE16" s="62">
        <v>5415.3499999999858</v>
      </c>
      <c r="DN16" s="62">
        <v>19567.59470879933</v>
      </c>
      <c r="DO16" s="62">
        <v>0</v>
      </c>
      <c r="DP16" s="62">
        <v>0</v>
      </c>
      <c r="DR16" s="62">
        <v>655691.9698697878</v>
      </c>
      <c r="DS16" s="62">
        <v>0</v>
      </c>
      <c r="DT16" s="62">
        <v>0</v>
      </c>
      <c r="DV16" s="62">
        <v>675259.56457858719</v>
      </c>
      <c r="DW16" s="62">
        <v>0</v>
      </c>
      <c r="DX16" s="62">
        <v>0</v>
      </c>
      <c r="DZ16" s="62">
        <v>37799.51805728639</v>
      </c>
      <c r="EB16" s="62">
        <v>980926.52403138066</v>
      </c>
      <c r="EC16" s="62">
        <v>268</v>
      </c>
      <c r="ED16" s="62">
        <v>3660.1735971320172</v>
      </c>
      <c r="EE16" s="62">
        <v>964037.09123626235</v>
      </c>
      <c r="EF16" s="62">
        <v>259</v>
      </c>
      <c r="EG16" s="62">
        <v>3722.1509314141404</v>
      </c>
      <c r="EI16" s="62">
        <v>-61.977334282123138</v>
      </c>
      <c r="EJ16" s="62">
        <v>16889.432795118308</v>
      </c>
      <c r="EK16" s="62" t="s">
        <v>681</v>
      </c>
      <c r="EL16" s="789">
        <v>1.7519484414712332E-2</v>
      </c>
      <c r="EM16" s="701"/>
      <c r="EO16" s="62">
        <v>19567.59470879933</v>
      </c>
      <c r="ER16" s="62">
        <v>655691.9698697878</v>
      </c>
      <c r="ET16" s="62">
        <v>-73.013413092534819</v>
      </c>
      <c r="EX16" s="62">
        <v>980926.51932258124</v>
      </c>
      <c r="EY16" s="62">
        <v>967113.23932258121</v>
      </c>
      <c r="FA16" s="62">
        <v>986680.8340313806</v>
      </c>
    </row>
    <row r="17" spans="1:157" x14ac:dyDescent="0.2">
      <c r="A17" s="241" t="s">
        <v>5</v>
      </c>
      <c r="B17" s="793">
        <v>2442</v>
      </c>
      <c r="C17" s="241">
        <v>306</v>
      </c>
      <c r="D17" s="241">
        <v>0</v>
      </c>
      <c r="E17" s="241">
        <v>0</v>
      </c>
      <c r="F17" s="241">
        <v>306</v>
      </c>
      <c r="G17" s="241">
        <v>8</v>
      </c>
      <c r="H17" s="241">
        <v>0</v>
      </c>
      <c r="I17" s="241">
        <v>0</v>
      </c>
      <c r="J17" s="241">
        <v>298</v>
      </c>
      <c r="K17" s="241">
        <v>0</v>
      </c>
      <c r="L17" s="241">
        <v>0</v>
      </c>
      <c r="M17" s="241">
        <v>298</v>
      </c>
      <c r="N17" s="62">
        <v>729090.32470595802</v>
      </c>
      <c r="O17" s="241"/>
      <c r="P17" s="241">
        <v>112.13740000000001</v>
      </c>
      <c r="Q17" s="241">
        <v>39.081967213114886</v>
      </c>
      <c r="R17" s="241">
        <v>11.724590163934435</v>
      </c>
      <c r="S17" s="241">
        <v>40.059016393442704</v>
      </c>
      <c r="T17" s="241">
        <v>40.059016393442704</v>
      </c>
      <c r="U17" s="241">
        <v>42.013114754098346</v>
      </c>
      <c r="V17" s="241">
        <v>5.8622950819672175</v>
      </c>
      <c r="W17" s="241">
        <v>290.93740000000031</v>
      </c>
      <c r="X17" s="241"/>
      <c r="Y17" s="241"/>
      <c r="Z17" s="241">
        <v>120737.21720600002</v>
      </c>
      <c r="AA17" s="241"/>
      <c r="AB17" s="794">
        <v>98278.211409836134</v>
      </c>
      <c r="AC17" s="794"/>
      <c r="AD17" s="795">
        <v>219015.42861583614</v>
      </c>
      <c r="AE17" s="241">
        <v>1.0101694915254238</v>
      </c>
      <c r="AF17" s="120">
        <v>1673.8508474576272</v>
      </c>
      <c r="AG17" s="120">
        <v>0</v>
      </c>
      <c r="AH17" s="795">
        <v>0</v>
      </c>
      <c r="AI17" s="120">
        <v>5.8431372549019605</v>
      </c>
      <c r="AJ17" s="120">
        <v>0</v>
      </c>
      <c r="AK17" s="120">
        <v>5449.7772549019601</v>
      </c>
      <c r="AL17" s="120">
        <v>0</v>
      </c>
      <c r="AM17" s="795">
        <v>5449.7772549019601</v>
      </c>
      <c r="AN17" s="120">
        <v>15.581699346405227</v>
      </c>
      <c r="AO17" s="120">
        <v>0</v>
      </c>
      <c r="AP17" s="795">
        <v>11873.254901960783</v>
      </c>
      <c r="AQ17" s="795">
        <v>0</v>
      </c>
      <c r="AR17" s="795">
        <v>11873.254901960783</v>
      </c>
      <c r="AS17" s="795">
        <v>100000</v>
      </c>
      <c r="AT17" s="120">
        <v>0</v>
      </c>
      <c r="AU17" s="120">
        <v>13813.28</v>
      </c>
      <c r="AV17" s="120">
        <v>0</v>
      </c>
      <c r="AW17" s="120">
        <v>1080915.9163261144</v>
      </c>
      <c r="AY17" s="120">
        <v>21417.331414230634</v>
      </c>
      <c r="AZ17" s="120">
        <v>0</v>
      </c>
      <c r="BA17" s="120">
        <v>21757.997101575376</v>
      </c>
      <c r="BB17" s="120">
        <v>21758</v>
      </c>
      <c r="BC17" s="821">
        <v>1124091.2448419204</v>
      </c>
      <c r="BD17" s="808">
        <v>-21757.997101575376</v>
      </c>
      <c r="BE17" s="808">
        <v>0</v>
      </c>
      <c r="BF17" s="808">
        <v>194214.47967628884</v>
      </c>
      <c r="BG17" s="808">
        <v>3003.2387510207782</v>
      </c>
      <c r="BH17" s="808">
        <v>9009.7162530623336</v>
      </c>
      <c r="BI17" s="808">
        <v>2628</v>
      </c>
      <c r="BM17" s="821">
        <v>0</v>
      </c>
      <c r="BN17" s="821"/>
      <c r="BP17" s="808">
        <v>1311188.6824207169</v>
      </c>
      <c r="BQ17" s="808">
        <v>298</v>
      </c>
      <c r="BR17" s="814">
        <v>295</v>
      </c>
      <c r="BS17" s="814">
        <v>3</v>
      </c>
      <c r="BT17" s="814">
        <v>1290083.9602054553</v>
      </c>
      <c r="BU17" s="814">
        <v>21104.722215261543</v>
      </c>
      <c r="BV17" s="814">
        <v>295</v>
      </c>
      <c r="BW17" s="814">
        <v>7034.9074050871814</v>
      </c>
      <c r="BY17" s="62">
        <v>78970</v>
      </c>
      <c r="BZ17" s="62">
        <v>87606.171446334454</v>
      </c>
      <c r="CA17" s="62">
        <v>2452.3997647058823</v>
      </c>
      <c r="CB17" s="62">
        <v>1673.8508474576272</v>
      </c>
      <c r="CC17" s="62">
        <v>0</v>
      </c>
      <c r="CD17" s="62">
        <v>11873.254901960783</v>
      </c>
      <c r="CE17" s="62">
        <v>182575.67696045875</v>
      </c>
      <c r="CF17" s="62">
        <v>20.286186328939859</v>
      </c>
      <c r="CH17" s="62">
        <v>346433.95629048627</v>
      </c>
      <c r="CI17" s="62">
        <v>38.492661810054031</v>
      </c>
      <c r="CJ17" s="62">
        <v>-18.206475481114172</v>
      </c>
      <c r="CK17" s="781" t="s">
        <v>614</v>
      </c>
      <c r="CL17" s="781" t="s">
        <v>616</v>
      </c>
      <c r="CN17" s="62">
        <v>967102.63632611441</v>
      </c>
      <c r="CV17" s="62">
        <v>729090.32470595802</v>
      </c>
      <c r="CW17" s="62">
        <v>0</v>
      </c>
      <c r="CX17" s="62">
        <v>0</v>
      </c>
      <c r="CZ17" s="62">
        <v>5285.8360655737888</v>
      </c>
      <c r="DA17" s="62">
        <v>3171.618885245904</v>
      </c>
      <c r="DB17" s="62">
        <v>16275.177180327901</v>
      </c>
      <c r="DC17" s="62">
        <v>21693.159147541028</v>
      </c>
      <c r="DD17" s="62">
        <v>45503.144196721296</v>
      </c>
      <c r="DE17" s="62">
        <v>6349.275934426234</v>
      </c>
      <c r="DN17" s="62">
        <v>21757.997101575376</v>
      </c>
      <c r="DO17" s="62">
        <v>0</v>
      </c>
      <c r="DP17" s="62">
        <v>0</v>
      </c>
      <c r="DR17" s="62">
        <v>729090.32470595802</v>
      </c>
      <c r="DS17" s="62">
        <v>0</v>
      </c>
      <c r="DT17" s="62">
        <v>0</v>
      </c>
      <c r="DV17" s="62">
        <v>750848.32180753339</v>
      </c>
      <c r="DW17" s="62">
        <v>0</v>
      </c>
      <c r="DX17" s="62">
        <v>0</v>
      </c>
      <c r="DZ17" s="62">
        <v>21417.331414230634</v>
      </c>
      <c r="EB17" s="62">
        <v>1102333.2448419204</v>
      </c>
      <c r="EC17" s="62">
        <v>298</v>
      </c>
      <c r="ED17" s="62">
        <v>3699.1048484628204</v>
      </c>
      <c r="EE17" s="62">
        <v>1064065.799932671</v>
      </c>
      <c r="EF17" s="62">
        <v>296</v>
      </c>
      <c r="EG17" s="62">
        <v>3594.816891664429</v>
      </c>
      <c r="EI17" s="62">
        <v>104.28795679839141</v>
      </c>
      <c r="EJ17" s="62">
        <v>38267.444909249432</v>
      </c>
      <c r="EK17" s="62" t="s">
        <v>681</v>
      </c>
      <c r="EL17" s="789">
        <v>3.5963419660392064E-2</v>
      </c>
      <c r="EM17" s="701"/>
      <c r="EO17" s="62">
        <v>21757.997101575376</v>
      </c>
      <c r="ER17" s="62">
        <v>729090.32470595802</v>
      </c>
      <c r="ET17" s="62">
        <v>-73.013413092534819</v>
      </c>
      <c r="EX17" s="62">
        <v>1102333.2477403451</v>
      </c>
      <c r="EY17" s="62">
        <v>1088519.967740345</v>
      </c>
      <c r="FA17" s="62">
        <v>1110277.9648419204</v>
      </c>
    </row>
    <row r="18" spans="1:157" x14ac:dyDescent="0.2">
      <c r="A18" s="241" t="s">
        <v>6</v>
      </c>
      <c r="B18" s="793">
        <v>2629</v>
      </c>
      <c r="C18" s="241">
        <v>341</v>
      </c>
      <c r="D18" s="241">
        <v>0</v>
      </c>
      <c r="E18" s="241">
        <v>0</v>
      </c>
      <c r="F18" s="241">
        <v>341</v>
      </c>
      <c r="G18" s="241">
        <v>3</v>
      </c>
      <c r="H18" s="241">
        <v>0</v>
      </c>
      <c r="I18" s="241">
        <v>0</v>
      </c>
      <c r="J18" s="241">
        <v>338</v>
      </c>
      <c r="K18" s="241">
        <v>0</v>
      </c>
      <c r="L18" s="241">
        <v>0</v>
      </c>
      <c r="M18" s="241">
        <v>338</v>
      </c>
      <c r="N18" s="62">
        <v>826954.79782085179</v>
      </c>
      <c r="O18" s="241"/>
      <c r="P18" s="241">
        <v>122.52499999999999</v>
      </c>
      <c r="Q18" s="241">
        <v>0.99120234604105439</v>
      </c>
      <c r="R18" s="241">
        <v>19.824046920821122</v>
      </c>
      <c r="S18" s="241">
        <v>87.225806451612812</v>
      </c>
      <c r="T18" s="241">
        <v>181.39002932551315</v>
      </c>
      <c r="U18" s="241">
        <v>35.683284457477875</v>
      </c>
      <c r="V18" s="241">
        <v>2.9736070381231667</v>
      </c>
      <c r="W18" s="241">
        <v>450.61297653958923</v>
      </c>
      <c r="X18" s="241"/>
      <c r="Y18" s="241"/>
      <c r="Z18" s="241">
        <v>131921.44224999999</v>
      </c>
      <c r="AA18" s="241"/>
      <c r="AB18" s="794">
        <v>181031.02574780036</v>
      </c>
      <c r="AC18" s="794"/>
      <c r="AD18" s="795">
        <v>312952.46799780033</v>
      </c>
      <c r="AE18" s="241">
        <v>0</v>
      </c>
      <c r="AF18" s="120">
        <v>0</v>
      </c>
      <c r="AG18" s="120">
        <v>0</v>
      </c>
      <c r="AH18" s="795">
        <v>0</v>
      </c>
      <c r="AI18" s="120">
        <v>156.9737827715357</v>
      </c>
      <c r="AJ18" s="120">
        <v>0</v>
      </c>
      <c r="AK18" s="120">
        <v>146406.30771535591</v>
      </c>
      <c r="AL18" s="120">
        <v>0</v>
      </c>
      <c r="AM18" s="795">
        <v>146406.30771535591</v>
      </c>
      <c r="AN18" s="120">
        <v>33.700879765395896</v>
      </c>
      <c r="AO18" s="120">
        <v>0</v>
      </c>
      <c r="AP18" s="795">
        <v>25680.070381231671</v>
      </c>
      <c r="AQ18" s="795">
        <v>0</v>
      </c>
      <c r="AR18" s="795">
        <v>25680.070381231671</v>
      </c>
      <c r="AS18" s="795">
        <v>100000</v>
      </c>
      <c r="AT18" s="120">
        <v>0</v>
      </c>
      <c r="AU18" s="120">
        <v>26912.080000000002</v>
      </c>
      <c r="AV18" s="120">
        <v>0</v>
      </c>
      <c r="AW18" s="120">
        <v>1438905.7239152398</v>
      </c>
      <c r="AY18" s="120">
        <v>123997.6471206639</v>
      </c>
      <c r="AZ18" s="120">
        <v>0</v>
      </c>
      <c r="BA18" s="120">
        <v>24678.53362527677</v>
      </c>
      <c r="BB18" s="120">
        <v>24678.53</v>
      </c>
      <c r="BC18" s="821">
        <v>1587581.9046611805</v>
      </c>
      <c r="BD18" s="808">
        <v>-24678.53362527677</v>
      </c>
      <c r="BE18" s="808">
        <v>22302.6</v>
      </c>
      <c r="BF18" s="808">
        <v>172650.57861599579</v>
      </c>
      <c r="BG18" s="808">
        <v>0</v>
      </c>
      <c r="BM18" s="821">
        <v>177314.95540000001</v>
      </c>
      <c r="BN18" s="821"/>
      <c r="BP18" s="808">
        <v>1935171.5050518997</v>
      </c>
      <c r="BQ18" s="808">
        <v>338</v>
      </c>
      <c r="BR18" s="814">
        <v>309</v>
      </c>
      <c r="BS18" s="814">
        <v>29</v>
      </c>
      <c r="BT18" s="814">
        <v>1765252.7281713334</v>
      </c>
      <c r="BU18" s="814">
        <v>169918.77688056626</v>
      </c>
      <c r="BV18" s="814">
        <v>309</v>
      </c>
      <c r="BW18" s="814">
        <v>5859.268168295388</v>
      </c>
      <c r="BY18" s="62">
        <v>89570</v>
      </c>
      <c r="BZ18" s="62">
        <v>125180.98719912014</v>
      </c>
      <c r="CA18" s="62">
        <v>65882.83847191016</v>
      </c>
      <c r="CB18" s="62">
        <v>0</v>
      </c>
      <c r="CC18" s="62">
        <v>0</v>
      </c>
      <c r="CD18" s="62">
        <v>25680.070381231671</v>
      </c>
      <c r="CE18" s="62">
        <v>306313.89605226199</v>
      </c>
      <c r="CF18" s="62">
        <v>34.034877339140223</v>
      </c>
      <c r="CH18" s="62">
        <v>380326.81630996993</v>
      </c>
      <c r="CI18" s="62">
        <v>42.258535145552216</v>
      </c>
      <c r="CJ18" s="62">
        <v>-8.2236578064119925</v>
      </c>
      <c r="CK18" s="781" t="s">
        <v>614</v>
      </c>
      <c r="CL18" s="781" t="s">
        <v>616</v>
      </c>
      <c r="CN18" s="62">
        <v>1311993.6439152397</v>
      </c>
      <c r="CV18" s="62">
        <v>826954.79782085179</v>
      </c>
      <c r="CW18" s="62">
        <v>0</v>
      </c>
      <c r="CX18" s="62">
        <v>0</v>
      </c>
      <c r="CZ18" s="62">
        <v>134.06011730205262</v>
      </c>
      <c r="DA18" s="62">
        <v>5362.6029325513218</v>
      </c>
      <c r="DB18" s="62">
        <v>35438.100645161248</v>
      </c>
      <c r="DC18" s="62">
        <v>98228.14258064513</v>
      </c>
      <c r="DD18" s="62">
        <v>38647.494897360557</v>
      </c>
      <c r="DE18" s="62">
        <v>3220.6245747800581</v>
      </c>
      <c r="DN18" s="62">
        <v>24678.53362527677</v>
      </c>
      <c r="DO18" s="62">
        <v>0</v>
      </c>
      <c r="DP18" s="62">
        <v>0</v>
      </c>
      <c r="DR18" s="62">
        <v>826954.79782085179</v>
      </c>
      <c r="DS18" s="62">
        <v>0</v>
      </c>
      <c r="DT18" s="62">
        <v>0</v>
      </c>
      <c r="DV18" s="62">
        <v>851633.33144612855</v>
      </c>
      <c r="DW18" s="62">
        <v>0</v>
      </c>
      <c r="DX18" s="62">
        <v>0</v>
      </c>
      <c r="DZ18" s="62">
        <v>123997.6471206639</v>
      </c>
      <c r="EB18" s="62">
        <v>1562903.3746611804</v>
      </c>
      <c r="EC18" s="62">
        <v>338</v>
      </c>
      <c r="ED18" s="62">
        <v>4623.9744812460958</v>
      </c>
      <c r="EE18" s="62">
        <v>1406895.2724226217</v>
      </c>
      <c r="EF18" s="62">
        <v>301</v>
      </c>
      <c r="EG18" s="62">
        <v>4674.0706725004047</v>
      </c>
      <c r="EI18" s="62">
        <v>-50.096191254308906</v>
      </c>
      <c r="EJ18" s="62">
        <v>156008.1022385587</v>
      </c>
      <c r="EK18" s="62" t="s">
        <v>681</v>
      </c>
      <c r="EL18" s="789">
        <v>0.11088821271672802</v>
      </c>
      <c r="EM18" s="701"/>
      <c r="EO18" s="62">
        <v>24678.53362527677</v>
      </c>
      <c r="ER18" s="62">
        <v>826954.79782085179</v>
      </c>
      <c r="ET18" s="62">
        <v>-73.013413092534819</v>
      </c>
      <c r="EX18" s="62">
        <v>1562903.3710359037</v>
      </c>
      <c r="EY18" s="62">
        <v>1535991.2910359036</v>
      </c>
      <c r="FA18" s="62">
        <v>1560669.8246611804</v>
      </c>
    </row>
    <row r="19" spans="1:157" x14ac:dyDescent="0.2">
      <c r="A19" s="241" t="s">
        <v>7</v>
      </c>
      <c r="B19" s="793">
        <v>2509</v>
      </c>
      <c r="C19" s="241">
        <v>196</v>
      </c>
      <c r="D19" s="241">
        <v>0</v>
      </c>
      <c r="E19" s="241">
        <v>0</v>
      </c>
      <c r="F19" s="241">
        <v>196</v>
      </c>
      <c r="G19" s="241">
        <v>0</v>
      </c>
      <c r="H19" s="241">
        <v>0</v>
      </c>
      <c r="I19" s="241">
        <v>0</v>
      </c>
      <c r="J19" s="241">
        <v>196</v>
      </c>
      <c r="K19" s="241">
        <v>0</v>
      </c>
      <c r="L19" s="241">
        <v>0</v>
      </c>
      <c r="M19" s="241">
        <v>196</v>
      </c>
      <c r="N19" s="62">
        <v>479535.91826297913</v>
      </c>
      <c r="O19" s="241"/>
      <c r="P19" s="241">
        <v>50.979599999999998</v>
      </c>
      <c r="Q19" s="241">
        <v>10.999999999999993</v>
      </c>
      <c r="R19" s="241">
        <v>3.9999999999999956</v>
      </c>
      <c r="S19" s="241">
        <v>52.000000000000078</v>
      </c>
      <c r="T19" s="241">
        <v>18.000000000000011</v>
      </c>
      <c r="U19" s="241">
        <v>6.9999999999999964</v>
      </c>
      <c r="V19" s="241">
        <v>15.000000000000009</v>
      </c>
      <c r="W19" s="241">
        <v>157.97960000000006</v>
      </c>
      <c r="X19" s="241"/>
      <c r="Y19" s="241"/>
      <c r="Z19" s="241">
        <v>54889.225524000001</v>
      </c>
      <c r="AA19" s="241"/>
      <c r="AB19" s="794">
        <v>57271.430000000037</v>
      </c>
      <c r="AC19" s="794"/>
      <c r="AD19" s="795">
        <v>112160.65552400003</v>
      </c>
      <c r="AE19" s="241">
        <v>1.1329479768786126</v>
      </c>
      <c r="AF19" s="120">
        <v>1877.2947976878611</v>
      </c>
      <c r="AG19" s="120">
        <v>0</v>
      </c>
      <c r="AH19" s="795">
        <v>0</v>
      </c>
      <c r="AI19" s="120">
        <v>27.464968152866273</v>
      </c>
      <c r="AJ19" s="120">
        <v>0</v>
      </c>
      <c r="AK19" s="120">
        <v>25616.026496815313</v>
      </c>
      <c r="AL19" s="120">
        <v>0</v>
      </c>
      <c r="AM19" s="795">
        <v>25616.026496815313</v>
      </c>
      <c r="AN19" s="120">
        <v>28.999999999999922</v>
      </c>
      <c r="AO19" s="120">
        <v>0</v>
      </c>
      <c r="AP19" s="795">
        <v>22097.999999999942</v>
      </c>
      <c r="AQ19" s="795">
        <v>0</v>
      </c>
      <c r="AR19" s="795">
        <v>22097.999999999942</v>
      </c>
      <c r="AS19" s="795">
        <v>100000</v>
      </c>
      <c r="AT19" s="120">
        <v>0</v>
      </c>
      <c r="AU19" s="120">
        <v>12979.72</v>
      </c>
      <c r="AV19" s="120">
        <v>0</v>
      </c>
      <c r="AW19" s="120">
        <v>754267.61508148233</v>
      </c>
      <c r="AY19" s="120">
        <v>8893.4052347359248</v>
      </c>
      <c r="AZ19" s="120">
        <v>0</v>
      </c>
      <c r="BA19" s="120">
        <v>14310.628966136825</v>
      </c>
      <c r="BB19" s="120">
        <v>14310.63</v>
      </c>
      <c r="BC19" s="821">
        <v>777471.64928235509</v>
      </c>
      <c r="BD19" s="808">
        <v>-14310.628966136825</v>
      </c>
      <c r="BE19" s="808">
        <v>22302.6</v>
      </c>
      <c r="BG19" s="808">
        <v>6006.4775020415564</v>
      </c>
      <c r="BI19" s="808">
        <v>6006</v>
      </c>
      <c r="BM19" s="821">
        <v>0</v>
      </c>
      <c r="BN19" s="821"/>
      <c r="BP19" s="808">
        <v>797476.09781825985</v>
      </c>
      <c r="BQ19" s="808">
        <v>196</v>
      </c>
      <c r="BR19" s="814">
        <v>173</v>
      </c>
      <c r="BS19" s="814">
        <v>23</v>
      </c>
      <c r="BT19" s="814">
        <v>704727.9500395119</v>
      </c>
      <c r="BU19" s="814">
        <v>92748.147778747953</v>
      </c>
      <c r="BV19" s="814">
        <v>173</v>
      </c>
      <c r="BW19" s="814">
        <v>4032.5281642933892</v>
      </c>
      <c r="BY19" s="62">
        <v>51940</v>
      </c>
      <c r="BZ19" s="62">
        <v>44864.262209600012</v>
      </c>
      <c r="CA19" s="62">
        <v>11527.211923566891</v>
      </c>
      <c r="CB19" s="62">
        <v>1877.2947976878611</v>
      </c>
      <c r="CC19" s="62">
        <v>0</v>
      </c>
      <c r="CD19" s="62">
        <v>22097.999999999942</v>
      </c>
      <c r="CE19" s="62">
        <v>132306.76893085471</v>
      </c>
      <c r="CF19" s="62">
        <v>14.700752103428302</v>
      </c>
      <c r="CH19" s="62">
        <v>71690.270563242171</v>
      </c>
      <c r="CI19" s="62">
        <v>7.9655856181380189</v>
      </c>
      <c r="CJ19" s="62">
        <v>6.7351664852902831</v>
      </c>
      <c r="CK19" s="781" t="s">
        <v>615</v>
      </c>
      <c r="CN19" s="62">
        <v>641287.89508148236</v>
      </c>
      <c r="CV19" s="62">
        <v>479535.91826297913</v>
      </c>
      <c r="CW19" s="62">
        <v>0</v>
      </c>
      <c r="CX19" s="62">
        <v>0</v>
      </c>
      <c r="CZ19" s="62">
        <v>1487.7499999999991</v>
      </c>
      <c r="DA19" s="62">
        <v>1082.0399999999988</v>
      </c>
      <c r="DB19" s="62">
        <v>21126.56000000003</v>
      </c>
      <c r="DC19" s="62">
        <v>9747.5400000000045</v>
      </c>
      <c r="DD19" s="62">
        <v>7581.4899999999961</v>
      </c>
      <c r="DE19" s="62">
        <v>16246.050000000008</v>
      </c>
      <c r="DN19" s="62">
        <v>14310.628966136825</v>
      </c>
      <c r="DO19" s="62">
        <v>0</v>
      </c>
      <c r="DP19" s="62">
        <v>0</v>
      </c>
      <c r="DR19" s="62">
        <v>479535.91826297913</v>
      </c>
      <c r="DS19" s="62">
        <v>0</v>
      </c>
      <c r="DT19" s="62">
        <v>0</v>
      </c>
      <c r="DV19" s="62">
        <v>493846.54722911597</v>
      </c>
      <c r="DW19" s="62">
        <v>0</v>
      </c>
      <c r="DX19" s="62">
        <v>0</v>
      </c>
      <c r="DZ19" s="62">
        <v>8893.4052347359248</v>
      </c>
      <c r="EB19" s="62">
        <v>763161.01928235509</v>
      </c>
      <c r="EC19" s="62">
        <v>196</v>
      </c>
      <c r="ED19" s="62">
        <v>3893.6786698079341</v>
      </c>
      <c r="EE19" s="62">
        <v>685001.06901355588</v>
      </c>
      <c r="EF19" s="62">
        <v>170</v>
      </c>
      <c r="EG19" s="62">
        <v>4029.4180530209169</v>
      </c>
      <c r="EI19" s="62">
        <v>-135.73938321298283</v>
      </c>
      <c r="EJ19" s="62">
        <v>78159.950268799206</v>
      </c>
      <c r="EK19" s="62" t="s">
        <v>681</v>
      </c>
      <c r="EL19" s="789">
        <v>0.11410193911281685</v>
      </c>
      <c r="EO19" s="62">
        <v>14310.628966136825</v>
      </c>
      <c r="ER19" s="62">
        <v>479535.91826297913</v>
      </c>
      <c r="ET19" s="62">
        <v>-73.013413092534819</v>
      </c>
      <c r="EX19" s="62">
        <v>763161.02031621826</v>
      </c>
      <c r="EY19" s="62">
        <v>750181.30031621829</v>
      </c>
      <c r="FA19" s="62">
        <v>764491.92928235512</v>
      </c>
    </row>
    <row r="20" spans="1:157" x14ac:dyDescent="0.2">
      <c r="A20" s="241" t="s">
        <v>8</v>
      </c>
      <c r="B20" s="793">
        <v>2005</v>
      </c>
      <c r="C20" s="241">
        <v>305</v>
      </c>
      <c r="D20" s="241">
        <v>0</v>
      </c>
      <c r="E20" s="241">
        <v>0</v>
      </c>
      <c r="F20" s="241">
        <v>305</v>
      </c>
      <c r="G20" s="241">
        <v>0</v>
      </c>
      <c r="H20" s="241">
        <v>0</v>
      </c>
      <c r="I20" s="241">
        <v>0</v>
      </c>
      <c r="J20" s="241">
        <v>305</v>
      </c>
      <c r="K20" s="241">
        <v>0</v>
      </c>
      <c r="L20" s="241">
        <v>0</v>
      </c>
      <c r="M20" s="241">
        <v>305</v>
      </c>
      <c r="N20" s="62">
        <v>746216.60750106443</v>
      </c>
      <c r="O20" s="241"/>
      <c r="P20" s="241">
        <v>160.94850000000002</v>
      </c>
      <c r="Q20" s="241">
        <v>17.112211221122109</v>
      </c>
      <c r="R20" s="241">
        <v>84.554455445544477</v>
      </c>
      <c r="S20" s="241">
        <v>93.613861386138623</v>
      </c>
      <c r="T20" s="241">
        <v>60.396039603960389</v>
      </c>
      <c r="U20" s="241">
        <v>28.184818481848183</v>
      </c>
      <c r="V20" s="241">
        <v>14.092409240924091</v>
      </c>
      <c r="W20" s="241">
        <v>458.90229537953792</v>
      </c>
      <c r="X20" s="241"/>
      <c r="Y20" s="241"/>
      <c r="Z20" s="241">
        <v>173291.64046500003</v>
      </c>
      <c r="AA20" s="241"/>
      <c r="AB20" s="794">
        <v>141716.15627062705</v>
      </c>
      <c r="AC20" s="794"/>
      <c r="AD20" s="795">
        <v>315007.79673562711</v>
      </c>
      <c r="AE20" s="241">
        <v>0</v>
      </c>
      <c r="AF20" s="120">
        <v>0</v>
      </c>
      <c r="AG20" s="120">
        <v>0</v>
      </c>
      <c r="AH20" s="795">
        <v>0</v>
      </c>
      <c r="AI20" s="120">
        <v>19.918367346938776</v>
      </c>
      <c r="AJ20" s="120">
        <v>0</v>
      </c>
      <c r="AK20" s="120">
        <v>18577.462857142858</v>
      </c>
      <c r="AL20" s="120">
        <v>0</v>
      </c>
      <c r="AM20" s="795">
        <v>18577.462857142858</v>
      </c>
      <c r="AN20" s="120">
        <v>36.000000000000028</v>
      </c>
      <c r="AO20" s="120">
        <v>0</v>
      </c>
      <c r="AP20" s="795">
        <v>27432.000000000022</v>
      </c>
      <c r="AQ20" s="795">
        <v>0</v>
      </c>
      <c r="AR20" s="795">
        <v>27432.000000000022</v>
      </c>
      <c r="AS20" s="795">
        <v>100000</v>
      </c>
      <c r="AT20" s="120">
        <v>0</v>
      </c>
      <c r="AU20" s="120">
        <v>15004.08</v>
      </c>
      <c r="AV20" s="120">
        <v>0</v>
      </c>
      <c r="AW20" s="120">
        <v>1222237.9470938344</v>
      </c>
      <c r="AY20" s="120">
        <v>0</v>
      </c>
      <c r="AZ20" s="120">
        <v>-12129.928443489516</v>
      </c>
      <c r="BA20" s="120">
        <v>22269.090993223119</v>
      </c>
      <c r="BB20" s="120">
        <v>22269.09</v>
      </c>
      <c r="BC20" s="821">
        <v>1232377.1096435678</v>
      </c>
      <c r="BD20" s="808">
        <v>-22269.090993223119</v>
      </c>
      <c r="BE20" s="808">
        <v>22302.6</v>
      </c>
      <c r="BG20" s="808">
        <v>6006.4775020415564</v>
      </c>
      <c r="BI20" s="808">
        <v>3254</v>
      </c>
      <c r="BM20" s="821">
        <v>0</v>
      </c>
      <c r="BN20" s="821"/>
      <c r="BP20" s="808">
        <v>1241671.0961523864</v>
      </c>
      <c r="BQ20" s="808">
        <v>305</v>
      </c>
      <c r="BR20" s="814">
        <v>271</v>
      </c>
      <c r="BS20" s="814">
        <v>34</v>
      </c>
      <c r="BT20" s="814">
        <v>1106543.8846893592</v>
      </c>
      <c r="BU20" s="814">
        <v>135127.21146302717</v>
      </c>
      <c r="BV20" s="814">
        <v>271</v>
      </c>
      <c r="BW20" s="814">
        <v>3974.3297489125639</v>
      </c>
      <c r="BY20" s="62">
        <v>80825</v>
      </c>
      <c r="BZ20" s="62">
        <v>126003.11869425085</v>
      </c>
      <c r="CA20" s="62">
        <v>8359.8582857142865</v>
      </c>
      <c r="CB20" s="62">
        <v>0</v>
      </c>
      <c r="CC20" s="62">
        <v>0</v>
      </c>
      <c r="CD20" s="62">
        <v>27432.000000000022</v>
      </c>
      <c r="CE20" s="62">
        <v>242619.97697996517</v>
      </c>
      <c r="CF20" s="62">
        <v>26.95777521999613</v>
      </c>
      <c r="CH20" s="62">
        <v>192275.93961221055</v>
      </c>
      <c r="CI20" s="62">
        <v>21.363993290245617</v>
      </c>
      <c r="CJ20" s="62">
        <v>5.5937819297505129</v>
      </c>
      <c r="CK20" s="781" t="s">
        <v>615</v>
      </c>
      <c r="CN20" s="62">
        <v>1107233.8670938343</v>
      </c>
      <c r="CV20" s="62">
        <v>746216.60750106443</v>
      </c>
      <c r="CW20" s="62">
        <v>0</v>
      </c>
      <c r="CX20" s="62">
        <v>0</v>
      </c>
      <c r="CZ20" s="62">
        <v>2314.4265676567652</v>
      </c>
      <c r="DA20" s="62">
        <v>22872.825742574234</v>
      </c>
      <c r="DB20" s="62">
        <v>38033.439603960396</v>
      </c>
      <c r="DC20" s="62">
        <v>32706.267326732668</v>
      </c>
      <c r="DD20" s="62">
        <v>30526.131353135308</v>
      </c>
      <c r="DE20" s="62">
        <v>15263.065676567654</v>
      </c>
      <c r="DN20" s="62">
        <v>22269.090993223119</v>
      </c>
      <c r="DO20" s="62">
        <v>0</v>
      </c>
      <c r="DP20" s="62">
        <v>0</v>
      </c>
      <c r="DR20" s="62">
        <v>746216.60750106443</v>
      </c>
      <c r="DS20" s="62">
        <v>0</v>
      </c>
      <c r="DT20" s="62">
        <v>0</v>
      </c>
      <c r="DV20" s="62">
        <v>768485.69849428756</v>
      </c>
      <c r="DW20" s="62">
        <v>0</v>
      </c>
      <c r="DX20" s="62">
        <v>0</v>
      </c>
      <c r="DZ20" s="62">
        <v>-12129.928443489516</v>
      </c>
      <c r="EB20" s="62">
        <v>1210108.0196435677</v>
      </c>
      <c r="EC20" s="62">
        <v>305</v>
      </c>
      <c r="ED20" s="62">
        <v>3967.5672775198941</v>
      </c>
      <c r="EE20" s="62">
        <v>1083863.2735593216</v>
      </c>
      <c r="EF20" s="62">
        <v>270</v>
      </c>
      <c r="EG20" s="62">
        <v>4014.30842059008</v>
      </c>
      <c r="EI20" s="62">
        <v>-46.741143070185899</v>
      </c>
      <c r="EJ20" s="62">
        <v>126244.74608424609</v>
      </c>
      <c r="EK20" s="62" t="s">
        <v>681</v>
      </c>
      <c r="EL20" s="789">
        <v>0.11647663424342102</v>
      </c>
      <c r="EO20" s="62">
        <v>22269.090993223119</v>
      </c>
      <c r="ER20" s="62">
        <v>746216.60750106443</v>
      </c>
      <c r="ET20" s="62">
        <v>-73.013413092534819</v>
      </c>
      <c r="EX20" s="62">
        <v>1210108.0186503448</v>
      </c>
      <c r="EY20" s="62">
        <v>1195103.9386503447</v>
      </c>
      <c r="FA20" s="62">
        <v>1217373.0296435677</v>
      </c>
    </row>
    <row r="21" spans="1:157" x14ac:dyDescent="0.2">
      <c r="A21" s="241" t="s">
        <v>9</v>
      </c>
      <c r="B21" s="793">
        <v>2464</v>
      </c>
      <c r="C21" s="241">
        <v>171</v>
      </c>
      <c r="D21" s="241">
        <v>0</v>
      </c>
      <c r="E21" s="241">
        <v>0</v>
      </c>
      <c r="F21" s="241">
        <v>171</v>
      </c>
      <c r="G21" s="241">
        <v>0</v>
      </c>
      <c r="H21" s="241">
        <v>0</v>
      </c>
      <c r="I21" s="241">
        <v>0</v>
      </c>
      <c r="J21" s="241">
        <v>171</v>
      </c>
      <c r="K21" s="241">
        <v>0</v>
      </c>
      <c r="L21" s="241">
        <v>0</v>
      </c>
      <c r="M21" s="241">
        <v>171</v>
      </c>
      <c r="N21" s="62">
        <v>418370.62256617058</v>
      </c>
      <c r="O21" s="241"/>
      <c r="P21" s="241">
        <v>56.669400000000003</v>
      </c>
      <c r="Q21" s="241">
        <v>40.235294117647086</v>
      </c>
      <c r="R21" s="241">
        <v>96.564705882352897</v>
      </c>
      <c r="S21" s="241">
        <v>2.0117647058823458</v>
      </c>
      <c r="T21" s="241">
        <v>0</v>
      </c>
      <c r="U21" s="241">
        <v>2.0117647058823458</v>
      </c>
      <c r="V21" s="241">
        <v>0</v>
      </c>
      <c r="W21" s="241">
        <v>197.49292941176469</v>
      </c>
      <c r="X21" s="241"/>
      <c r="Y21" s="241"/>
      <c r="Z21" s="241">
        <v>61015.376286000006</v>
      </c>
      <c r="AA21" s="241"/>
      <c r="AB21" s="794">
        <v>34559.763882352927</v>
      </c>
      <c r="AC21" s="794"/>
      <c r="AD21" s="795">
        <v>95575.140168352926</v>
      </c>
      <c r="AE21" s="241">
        <v>1.0118343195266273</v>
      </c>
      <c r="AF21" s="120">
        <v>1676.6094674556214</v>
      </c>
      <c r="AG21" s="120">
        <v>0</v>
      </c>
      <c r="AH21" s="795">
        <v>0</v>
      </c>
      <c r="AI21" s="120">
        <v>1.2127659574468079</v>
      </c>
      <c r="AJ21" s="120">
        <v>0</v>
      </c>
      <c r="AK21" s="120">
        <v>1131.1225531914888</v>
      </c>
      <c r="AL21" s="120">
        <v>0</v>
      </c>
      <c r="AM21" s="795">
        <v>1131.1225531914888</v>
      </c>
      <c r="AN21" s="120">
        <v>13.000000000000002</v>
      </c>
      <c r="AO21" s="120">
        <v>0</v>
      </c>
      <c r="AP21" s="795">
        <v>9906.0000000000018</v>
      </c>
      <c r="AQ21" s="795">
        <v>0</v>
      </c>
      <c r="AR21" s="795">
        <v>9906.0000000000018</v>
      </c>
      <c r="AS21" s="795">
        <v>100000</v>
      </c>
      <c r="AT21" s="120">
        <v>0</v>
      </c>
      <c r="AU21" s="120">
        <v>12622.48</v>
      </c>
      <c r="AV21" s="120">
        <v>0</v>
      </c>
      <c r="AW21" s="120">
        <v>639281.97475517064</v>
      </c>
      <c r="AY21" s="120">
        <v>61424.850011666305</v>
      </c>
      <c r="AZ21" s="120">
        <v>0</v>
      </c>
      <c r="BA21" s="120">
        <v>12485.293638823454</v>
      </c>
      <c r="BB21" s="120">
        <v>12485.29</v>
      </c>
      <c r="BC21" s="821">
        <v>713192.11840566038</v>
      </c>
      <c r="BD21" s="808">
        <v>-12485.293638823454</v>
      </c>
      <c r="BE21" s="808">
        <v>11151.3</v>
      </c>
      <c r="BG21" s="808">
        <v>0</v>
      </c>
      <c r="BM21" s="821">
        <v>91722</v>
      </c>
      <c r="BN21" s="821"/>
      <c r="BP21" s="808">
        <v>803580.12476683699</v>
      </c>
      <c r="BQ21" s="808">
        <v>171</v>
      </c>
      <c r="BR21" s="814">
        <v>169</v>
      </c>
      <c r="BS21" s="814">
        <v>2</v>
      </c>
      <c r="BT21" s="814">
        <v>800197.86035025399</v>
      </c>
      <c r="BU21" s="814">
        <v>3382.2644165829988</v>
      </c>
      <c r="BV21" s="814">
        <v>169</v>
      </c>
      <c r="BW21" s="814">
        <v>1691.1322082914994</v>
      </c>
      <c r="BY21" s="62">
        <v>45315</v>
      </c>
      <c r="BZ21" s="62">
        <v>38230.056067341175</v>
      </c>
      <c r="CA21" s="62">
        <v>509.00514893616997</v>
      </c>
      <c r="CB21" s="62">
        <v>1676.6094674556214</v>
      </c>
      <c r="CC21" s="62">
        <v>0</v>
      </c>
      <c r="CD21" s="62">
        <v>9906.0000000000018</v>
      </c>
      <c r="CE21" s="62">
        <v>95636.670683732969</v>
      </c>
      <c r="CF21" s="62">
        <v>10.626296742636997</v>
      </c>
      <c r="CH21" s="62">
        <v>95662.088380269459</v>
      </c>
      <c r="CI21" s="62">
        <v>10.629120931141051</v>
      </c>
      <c r="CJ21" s="62">
        <v>-2.8241885040536374E-3</v>
      </c>
      <c r="CL21" s="781" t="s">
        <v>616</v>
      </c>
      <c r="CN21" s="62">
        <v>526659.49475517066</v>
      </c>
      <c r="CV21" s="62">
        <v>418370.62256617058</v>
      </c>
      <c r="CW21" s="62">
        <v>0</v>
      </c>
      <c r="CX21" s="62">
        <v>0</v>
      </c>
      <c r="CZ21" s="62">
        <v>5441.8235294117685</v>
      </c>
      <c r="DA21" s="62">
        <v>26121.718588235282</v>
      </c>
      <c r="DB21" s="62">
        <v>817.33976470587936</v>
      </c>
      <c r="DC21" s="62">
        <v>0</v>
      </c>
      <c r="DD21" s="62">
        <v>2178.8819999999923</v>
      </c>
      <c r="DE21" s="62">
        <v>0</v>
      </c>
      <c r="DN21" s="62">
        <v>12485.293638823454</v>
      </c>
      <c r="DO21" s="62">
        <v>0</v>
      </c>
      <c r="DP21" s="62">
        <v>0</v>
      </c>
      <c r="DR21" s="62">
        <v>418370.62256617058</v>
      </c>
      <c r="DS21" s="62">
        <v>0</v>
      </c>
      <c r="DT21" s="62">
        <v>0</v>
      </c>
      <c r="DV21" s="62">
        <v>430855.91620499402</v>
      </c>
      <c r="DW21" s="62">
        <v>0</v>
      </c>
      <c r="DX21" s="62">
        <v>0</v>
      </c>
      <c r="DZ21" s="62">
        <v>61424.850011666305</v>
      </c>
      <c r="EB21" s="62">
        <v>700706.82840566034</v>
      </c>
      <c r="EC21" s="62">
        <v>171</v>
      </c>
      <c r="ED21" s="62">
        <v>4097.7007509102941</v>
      </c>
      <c r="EE21" s="62">
        <v>702194.0206049541</v>
      </c>
      <c r="EF21" s="62">
        <v>169</v>
      </c>
      <c r="EG21" s="62">
        <v>4154.994204763042</v>
      </c>
      <c r="EI21" s="62">
        <v>-57.293453852747916</v>
      </c>
      <c r="EJ21" s="62">
        <v>-1487.1921992937569</v>
      </c>
      <c r="EK21" s="62" t="s">
        <v>616</v>
      </c>
      <c r="EL21" s="789">
        <v>-2.1179220495391162E-3</v>
      </c>
      <c r="EO21" s="62">
        <v>12485.293638823454</v>
      </c>
      <c r="ER21" s="62">
        <v>418370.62256617058</v>
      </c>
      <c r="ET21" s="62">
        <v>-73.013413092534819</v>
      </c>
      <c r="EX21" s="62">
        <v>700706.82476683694</v>
      </c>
      <c r="EY21" s="62">
        <v>688084.34476683696</v>
      </c>
      <c r="FA21" s="62">
        <v>700569.6384056604</v>
      </c>
    </row>
    <row r="22" spans="1:157" x14ac:dyDescent="0.2">
      <c r="A22" s="241" t="s">
        <v>10</v>
      </c>
      <c r="B22" s="793">
        <v>2004</v>
      </c>
      <c r="C22" s="241">
        <v>252</v>
      </c>
      <c r="D22" s="241">
        <v>0</v>
      </c>
      <c r="E22" s="241">
        <v>0</v>
      </c>
      <c r="F22" s="241">
        <v>252</v>
      </c>
      <c r="G22" s="241">
        <v>0</v>
      </c>
      <c r="H22" s="241">
        <v>0</v>
      </c>
      <c r="I22" s="241">
        <v>0</v>
      </c>
      <c r="J22" s="241">
        <v>252</v>
      </c>
      <c r="K22" s="241">
        <v>0</v>
      </c>
      <c r="L22" s="241">
        <v>0</v>
      </c>
      <c r="M22" s="241">
        <v>252</v>
      </c>
      <c r="N22" s="62">
        <v>616546.1806238303</v>
      </c>
      <c r="O22" s="241"/>
      <c r="P22" s="241">
        <v>163.422</v>
      </c>
      <c r="Q22" s="241">
        <v>17.136000000000003</v>
      </c>
      <c r="R22" s="241">
        <v>12.096</v>
      </c>
      <c r="S22" s="241">
        <v>16.128</v>
      </c>
      <c r="T22" s="241">
        <v>6.048</v>
      </c>
      <c r="U22" s="241">
        <v>175.392</v>
      </c>
      <c r="V22" s="241">
        <v>0</v>
      </c>
      <c r="W22" s="241">
        <v>390.22199999999998</v>
      </c>
      <c r="X22" s="241"/>
      <c r="Y22" s="241"/>
      <c r="Z22" s="241">
        <v>175954.83318000002</v>
      </c>
      <c r="AA22" s="241"/>
      <c r="AB22" s="794">
        <v>205379.20368000001</v>
      </c>
      <c r="AC22" s="794"/>
      <c r="AD22" s="795">
        <v>381334.03685999999</v>
      </c>
      <c r="AE22" s="241">
        <v>0</v>
      </c>
      <c r="AF22" s="120">
        <v>0</v>
      </c>
      <c r="AG22" s="120">
        <v>0</v>
      </c>
      <c r="AH22" s="795">
        <v>0</v>
      </c>
      <c r="AI22" s="120">
        <v>3.7425742574257548</v>
      </c>
      <c r="AJ22" s="120">
        <v>0</v>
      </c>
      <c r="AK22" s="120">
        <v>3490.6241584158529</v>
      </c>
      <c r="AL22" s="120">
        <v>0</v>
      </c>
      <c r="AM22" s="795">
        <v>3490.6241584158529</v>
      </c>
      <c r="AN22" s="120">
        <v>23.999999999999993</v>
      </c>
      <c r="AO22" s="120">
        <v>0</v>
      </c>
      <c r="AP22" s="795">
        <v>18287.999999999996</v>
      </c>
      <c r="AQ22" s="795">
        <v>0</v>
      </c>
      <c r="AR22" s="795">
        <v>18287.999999999996</v>
      </c>
      <c r="AS22" s="795">
        <v>100000</v>
      </c>
      <c r="AT22" s="120">
        <v>0</v>
      </c>
      <c r="AU22" s="120">
        <v>15004.08</v>
      </c>
      <c r="AV22" s="120">
        <v>0</v>
      </c>
      <c r="AW22" s="120">
        <v>1134662.9216422462</v>
      </c>
      <c r="AY22" s="120">
        <v>83340.838782512001</v>
      </c>
      <c r="AZ22" s="120">
        <v>0</v>
      </c>
      <c r="BA22" s="120">
        <v>18399.380099318776</v>
      </c>
      <c r="BB22" s="120">
        <v>18399.38</v>
      </c>
      <c r="BC22" s="821">
        <v>1236403.140524077</v>
      </c>
      <c r="BD22" s="808">
        <v>-18399.380099318776</v>
      </c>
      <c r="BE22" s="808">
        <v>22302.6</v>
      </c>
      <c r="BG22" s="808">
        <v>0</v>
      </c>
      <c r="BM22" s="821">
        <v>123470.66399999998</v>
      </c>
      <c r="BN22" s="821"/>
      <c r="BP22" s="808">
        <v>1363777.0244247583</v>
      </c>
      <c r="BQ22" s="808">
        <v>252</v>
      </c>
      <c r="BR22" s="814">
        <v>239</v>
      </c>
      <c r="BS22" s="827">
        <v>13</v>
      </c>
      <c r="BT22" s="814">
        <v>1377824.6184645097</v>
      </c>
      <c r="BU22" s="827">
        <v>-14047.59403975145</v>
      </c>
      <c r="BV22" s="814">
        <v>239</v>
      </c>
      <c r="BW22" s="814">
        <v>-1080.5841569039576</v>
      </c>
      <c r="BY22" s="62">
        <v>66780</v>
      </c>
      <c r="BZ22" s="62">
        <v>152533.61474399999</v>
      </c>
      <c r="CA22" s="62">
        <v>1570.7808712871338</v>
      </c>
      <c r="CB22" s="62">
        <v>0</v>
      </c>
      <c r="CC22" s="62">
        <v>0</v>
      </c>
      <c r="CD22" s="62">
        <v>18287.999999999996</v>
      </c>
      <c r="CE22" s="62">
        <v>239172.39561528713</v>
      </c>
      <c r="CF22" s="62">
        <v>26.57471062392079</v>
      </c>
      <c r="CH22" s="62">
        <v>221414.66418511234</v>
      </c>
      <c r="CI22" s="62">
        <v>24.601629353901373</v>
      </c>
      <c r="CJ22" s="62">
        <v>1.9730812700194171</v>
      </c>
      <c r="CK22" s="781" t="s">
        <v>615</v>
      </c>
      <c r="CN22" s="62">
        <v>1019658.8416422461</v>
      </c>
      <c r="CV22" s="62">
        <v>616546.1806238303</v>
      </c>
      <c r="CW22" s="62">
        <v>0</v>
      </c>
      <c r="CX22" s="62">
        <v>0</v>
      </c>
      <c r="CZ22" s="62">
        <v>2317.6440000000002</v>
      </c>
      <c r="DA22" s="62">
        <v>3272.08896</v>
      </c>
      <c r="DB22" s="62">
        <v>6552.4838399999999</v>
      </c>
      <c r="DC22" s="62">
        <v>3275.17344</v>
      </c>
      <c r="DD22" s="62">
        <v>189961.81344</v>
      </c>
      <c r="DE22" s="62">
        <v>0</v>
      </c>
      <c r="DN22" s="62">
        <v>18399.380099318776</v>
      </c>
      <c r="DO22" s="62">
        <v>0</v>
      </c>
      <c r="DP22" s="62">
        <v>0</v>
      </c>
      <c r="DR22" s="62">
        <v>616546.1806238303</v>
      </c>
      <c r="DS22" s="62">
        <v>0</v>
      </c>
      <c r="DT22" s="62">
        <v>0</v>
      </c>
      <c r="DV22" s="62">
        <v>634945.5607231491</v>
      </c>
      <c r="DW22" s="62">
        <v>0</v>
      </c>
      <c r="DX22" s="62">
        <v>0</v>
      </c>
      <c r="DZ22" s="62">
        <v>83340.838782512001</v>
      </c>
      <c r="EB22" s="62">
        <v>1218003.7605240771</v>
      </c>
      <c r="EC22" s="62">
        <v>252</v>
      </c>
      <c r="ED22" s="62">
        <v>4833.3482560479251</v>
      </c>
      <c r="EE22" s="62">
        <v>1194230.8930916779</v>
      </c>
      <c r="EF22" s="62">
        <v>243</v>
      </c>
      <c r="EG22" s="62">
        <v>4914.5304242455877</v>
      </c>
      <c r="EI22" s="62">
        <v>-81.182168197662577</v>
      </c>
      <c r="EJ22" s="62">
        <v>23772.867432399187</v>
      </c>
      <c r="EK22" s="62" t="s">
        <v>681</v>
      </c>
      <c r="EL22" s="789">
        <v>1.9906424770887422E-2</v>
      </c>
      <c r="EO22" s="62">
        <v>18399.380099318776</v>
      </c>
      <c r="ER22" s="62">
        <v>616546.1806238303</v>
      </c>
      <c r="ET22" s="62">
        <v>-73.013413092534819</v>
      </c>
      <c r="EX22" s="62">
        <v>1218003.7604247583</v>
      </c>
      <c r="EY22" s="62">
        <v>1202999.6804247582</v>
      </c>
      <c r="FA22" s="62">
        <v>1221399.0605240769</v>
      </c>
    </row>
    <row r="23" spans="1:157" x14ac:dyDescent="0.2">
      <c r="A23" s="241" t="s">
        <v>11</v>
      </c>
      <c r="B23" s="793">
        <v>2405</v>
      </c>
      <c r="C23" s="241">
        <v>190</v>
      </c>
      <c r="D23" s="241">
        <v>0</v>
      </c>
      <c r="E23" s="241">
        <v>0</v>
      </c>
      <c r="F23" s="241">
        <v>190</v>
      </c>
      <c r="G23" s="241">
        <v>0</v>
      </c>
      <c r="H23" s="241">
        <v>0</v>
      </c>
      <c r="I23" s="241">
        <v>0</v>
      </c>
      <c r="J23" s="241">
        <v>190</v>
      </c>
      <c r="K23" s="241">
        <v>0</v>
      </c>
      <c r="L23" s="241">
        <v>0</v>
      </c>
      <c r="M23" s="241">
        <v>190</v>
      </c>
      <c r="N23" s="62">
        <v>464856.24729574507</v>
      </c>
      <c r="O23" s="241"/>
      <c r="P23" s="241">
        <v>109.45899999999999</v>
      </c>
      <c r="Q23" s="241">
        <v>2.0000000000000031</v>
      </c>
      <c r="R23" s="241">
        <v>29.99999999999995</v>
      </c>
      <c r="S23" s="241">
        <v>103.00000000000004</v>
      </c>
      <c r="T23" s="241">
        <v>6.0000000000000098</v>
      </c>
      <c r="U23" s="241">
        <v>42.999999999999957</v>
      </c>
      <c r="V23" s="241">
        <v>4.9999999999999973</v>
      </c>
      <c r="W23" s="241">
        <v>298.45899999999995</v>
      </c>
      <c r="X23" s="241"/>
      <c r="Y23" s="241"/>
      <c r="Z23" s="241">
        <v>117853.41071</v>
      </c>
      <c r="AA23" s="241"/>
      <c r="AB23" s="794">
        <v>105469.17999999995</v>
      </c>
      <c r="AC23" s="794"/>
      <c r="AD23" s="795">
        <v>223322.59070999996</v>
      </c>
      <c r="AE23" s="241">
        <v>1.0382513661202186</v>
      </c>
      <c r="AF23" s="120">
        <v>1720.3825136612022</v>
      </c>
      <c r="AG23" s="120">
        <v>0</v>
      </c>
      <c r="AH23" s="795">
        <v>0</v>
      </c>
      <c r="AI23" s="120">
        <v>35.849056603773612</v>
      </c>
      <c r="AJ23" s="120">
        <v>0</v>
      </c>
      <c r="AK23" s="120">
        <v>33435.698113207567</v>
      </c>
      <c r="AL23" s="120">
        <v>0</v>
      </c>
      <c r="AM23" s="795">
        <v>33435.698113207567</v>
      </c>
      <c r="AN23" s="120">
        <v>30.999999999999979</v>
      </c>
      <c r="AO23" s="120">
        <v>0</v>
      </c>
      <c r="AP23" s="795">
        <v>23621.999999999985</v>
      </c>
      <c r="AQ23" s="795">
        <v>0</v>
      </c>
      <c r="AR23" s="795">
        <v>23621.999999999985</v>
      </c>
      <c r="AS23" s="795">
        <v>100000</v>
      </c>
      <c r="AT23" s="120">
        <v>0</v>
      </c>
      <c r="AU23" s="120">
        <v>13098.8</v>
      </c>
      <c r="AV23" s="120">
        <v>0</v>
      </c>
      <c r="AW23" s="120">
        <v>860055.71863261377</v>
      </c>
      <c r="AY23" s="120">
        <v>0</v>
      </c>
      <c r="AZ23" s="120">
        <v>0</v>
      </c>
      <c r="BA23" s="120">
        <v>13872.548487581616</v>
      </c>
      <c r="BB23" s="120">
        <v>13872.55</v>
      </c>
      <c r="BC23" s="821">
        <v>873928.26712019555</v>
      </c>
      <c r="BD23" s="808">
        <v>-13872.548487581616</v>
      </c>
      <c r="BE23" s="808">
        <v>11151.3</v>
      </c>
      <c r="BF23" s="808">
        <v>116361.30180935774</v>
      </c>
      <c r="BG23" s="808">
        <v>27029.148759187003</v>
      </c>
      <c r="BI23" s="808">
        <v>4880</v>
      </c>
      <c r="BM23" s="821">
        <v>101524.3708</v>
      </c>
      <c r="BN23" s="821"/>
      <c r="BP23" s="808">
        <v>1121001.8400011586</v>
      </c>
      <c r="BQ23" s="808">
        <v>190</v>
      </c>
      <c r="BR23" s="814">
        <v>183</v>
      </c>
      <c r="BS23" s="814">
        <v>7</v>
      </c>
      <c r="BT23" s="814">
        <v>1061446.3541269966</v>
      </c>
      <c r="BU23" s="814">
        <v>59555.485874161823</v>
      </c>
      <c r="BV23" s="814">
        <v>183</v>
      </c>
      <c r="BW23" s="814">
        <v>8507.926553451689</v>
      </c>
      <c r="BY23" s="62">
        <v>50350</v>
      </c>
      <c r="BZ23" s="62">
        <v>89329.036283999987</v>
      </c>
      <c r="CA23" s="62">
        <v>15046.064150943406</v>
      </c>
      <c r="CB23" s="62">
        <v>1720.3825136612022</v>
      </c>
      <c r="CC23" s="62">
        <v>0</v>
      </c>
      <c r="CD23" s="62">
        <v>23621.999999999985</v>
      </c>
      <c r="CE23" s="62">
        <v>180067.48294860456</v>
      </c>
      <c r="CF23" s="62">
        <v>20.007498105400508</v>
      </c>
      <c r="CH23" s="62">
        <v>295999.53381789313</v>
      </c>
      <c r="CI23" s="62">
        <v>32.888837090877011</v>
      </c>
      <c r="CJ23" s="62">
        <v>-12.881338985476503</v>
      </c>
      <c r="CK23" s="781" t="s">
        <v>614</v>
      </c>
      <c r="CL23" s="781" t="s">
        <v>616</v>
      </c>
      <c r="CM23" s="781"/>
      <c r="CN23" s="62">
        <v>746956.91863261384</v>
      </c>
      <c r="CV23" s="62">
        <v>464856.24729574507</v>
      </c>
      <c r="CW23" s="62">
        <v>0</v>
      </c>
      <c r="CX23" s="62">
        <v>0</v>
      </c>
      <c r="CZ23" s="62">
        <v>270.5000000000004</v>
      </c>
      <c r="DA23" s="62">
        <v>8115.2999999999865</v>
      </c>
      <c r="DB23" s="62">
        <v>41846.840000000011</v>
      </c>
      <c r="DC23" s="62">
        <v>3249.1800000000053</v>
      </c>
      <c r="DD23" s="62">
        <v>46572.009999999951</v>
      </c>
      <c r="DE23" s="62">
        <v>5415.3499999999967</v>
      </c>
      <c r="DN23" s="62">
        <v>13872.548487581616</v>
      </c>
      <c r="DO23" s="62">
        <v>0</v>
      </c>
      <c r="DP23" s="62">
        <v>0</v>
      </c>
      <c r="DR23" s="62">
        <v>464856.24729574507</v>
      </c>
      <c r="DS23" s="62">
        <v>0</v>
      </c>
      <c r="DT23" s="62">
        <v>0</v>
      </c>
      <c r="DV23" s="62">
        <v>478728.79578332667</v>
      </c>
      <c r="DW23" s="62">
        <v>0</v>
      </c>
      <c r="DX23" s="62">
        <v>0</v>
      </c>
      <c r="DZ23" s="62">
        <v>0</v>
      </c>
      <c r="EB23" s="62">
        <v>860055.71712019539</v>
      </c>
      <c r="EC23" s="62">
        <v>190</v>
      </c>
      <c r="ED23" s="62">
        <v>4526.6090374747127</v>
      </c>
      <c r="EE23" s="62">
        <v>821777.41605137114</v>
      </c>
      <c r="EF23" s="62">
        <v>182</v>
      </c>
      <c r="EG23" s="62">
        <v>4515.2605277547864</v>
      </c>
      <c r="EI23" s="62">
        <v>11.348509719926369</v>
      </c>
      <c r="EJ23" s="62">
        <v>38278.30106882425</v>
      </c>
      <c r="EK23" s="62" t="s">
        <v>681</v>
      </c>
      <c r="EL23" s="789">
        <v>4.657988929989211E-2</v>
      </c>
      <c r="EO23" s="62">
        <v>13872.548487581616</v>
      </c>
      <c r="ER23" s="62">
        <v>464856.24729574507</v>
      </c>
      <c r="ET23" s="62">
        <v>-73.013413092534819</v>
      </c>
      <c r="EX23" s="62">
        <v>860055.71863261377</v>
      </c>
      <c r="EY23" s="62">
        <v>846956.91863261373</v>
      </c>
      <c r="FA23" s="62">
        <v>860829.46712019539</v>
      </c>
    </row>
    <row r="24" spans="1:157" x14ac:dyDescent="0.2">
      <c r="A24" s="241" t="s">
        <v>108</v>
      </c>
      <c r="B24" s="793">
        <v>3525</v>
      </c>
      <c r="C24" s="241">
        <v>202</v>
      </c>
      <c r="D24" s="241">
        <v>0</v>
      </c>
      <c r="E24" s="241">
        <v>0</v>
      </c>
      <c r="F24" s="241">
        <v>202</v>
      </c>
      <c r="G24" s="241">
        <v>0</v>
      </c>
      <c r="H24" s="241">
        <v>0</v>
      </c>
      <c r="I24" s="241">
        <v>0</v>
      </c>
      <c r="J24" s="241">
        <v>202</v>
      </c>
      <c r="K24" s="241">
        <v>0</v>
      </c>
      <c r="L24" s="241">
        <v>0</v>
      </c>
      <c r="M24" s="241">
        <v>202</v>
      </c>
      <c r="N24" s="62">
        <v>494215.5892302132</v>
      </c>
      <c r="O24" s="241"/>
      <c r="P24" s="241">
        <v>63.003800000000005</v>
      </c>
      <c r="Q24" s="241">
        <v>0</v>
      </c>
      <c r="R24" s="241">
        <v>79.999999999999986</v>
      </c>
      <c r="S24" s="241">
        <v>70.000000000000099</v>
      </c>
      <c r="T24" s="241">
        <v>13.999999999999998</v>
      </c>
      <c r="U24" s="241">
        <v>13.999999999999998</v>
      </c>
      <c r="V24" s="241">
        <v>0</v>
      </c>
      <c r="W24" s="241">
        <v>241.00380000000007</v>
      </c>
      <c r="X24" s="241"/>
      <c r="Y24" s="241"/>
      <c r="Z24" s="241">
        <v>67835.561422000013</v>
      </c>
      <c r="AA24" s="241"/>
      <c r="AB24" s="794">
        <v>72824.800000000032</v>
      </c>
      <c r="AC24" s="794"/>
      <c r="AD24" s="795">
        <v>140660.36142200005</v>
      </c>
      <c r="AE24" s="241">
        <v>0</v>
      </c>
      <c r="AF24" s="120">
        <v>0</v>
      </c>
      <c r="AG24" s="120">
        <v>0</v>
      </c>
      <c r="AH24" s="795">
        <v>0</v>
      </c>
      <c r="AI24" s="120">
        <v>16.441860465116278</v>
      </c>
      <c r="AJ24" s="120">
        <v>0</v>
      </c>
      <c r="AK24" s="120">
        <v>15334.994418604649</v>
      </c>
      <c r="AL24" s="120">
        <v>0</v>
      </c>
      <c r="AM24" s="795">
        <v>15334.994418604649</v>
      </c>
      <c r="AN24" s="120">
        <v>15.000000000000007</v>
      </c>
      <c r="AO24" s="120">
        <v>0</v>
      </c>
      <c r="AP24" s="795">
        <v>11430.000000000005</v>
      </c>
      <c r="AQ24" s="795">
        <v>0</v>
      </c>
      <c r="AR24" s="795">
        <v>11430.000000000005</v>
      </c>
      <c r="AS24" s="795">
        <v>100000</v>
      </c>
      <c r="AT24" s="120">
        <v>0</v>
      </c>
      <c r="AU24" s="120">
        <v>4919.6159999999982</v>
      </c>
      <c r="AV24" s="120">
        <v>0</v>
      </c>
      <c r="AW24" s="120">
        <v>766560.56107081787</v>
      </c>
      <c r="AY24" s="120">
        <v>21504.424042599509</v>
      </c>
      <c r="AZ24" s="120">
        <v>0</v>
      </c>
      <c r="BA24" s="120">
        <v>14748.709444692033</v>
      </c>
      <c r="BB24" s="120">
        <v>14748.71</v>
      </c>
      <c r="BC24" s="821">
        <v>802813.69455810951</v>
      </c>
      <c r="BD24" s="808">
        <v>-14748.709444692033</v>
      </c>
      <c r="BE24" s="808">
        <v>11151.3</v>
      </c>
      <c r="BG24" s="808">
        <v>22524.290632655837</v>
      </c>
      <c r="BI24" s="808">
        <v>10262</v>
      </c>
      <c r="BM24" s="821">
        <v>79027.944199999998</v>
      </c>
      <c r="BN24" s="821"/>
      <c r="BP24" s="808">
        <v>911030.51994607341</v>
      </c>
      <c r="BQ24" s="808">
        <v>202</v>
      </c>
      <c r="BR24" s="814">
        <v>202</v>
      </c>
      <c r="BS24" s="827">
        <v>0</v>
      </c>
      <c r="BT24" s="814">
        <v>923262.77317604225</v>
      </c>
      <c r="BU24" s="827">
        <v>-12232.253229968948</v>
      </c>
      <c r="BV24" s="814">
        <v>202</v>
      </c>
      <c r="BW24" s="814" t="e">
        <v>#DIV/0!</v>
      </c>
      <c r="BY24" s="62">
        <v>53530</v>
      </c>
      <c r="BZ24" s="62">
        <v>56264.144568800024</v>
      </c>
      <c r="CA24" s="62">
        <v>6900.7474883720924</v>
      </c>
      <c r="CB24" s="62">
        <v>0</v>
      </c>
      <c r="CC24" s="62">
        <v>0</v>
      </c>
      <c r="CD24" s="62">
        <v>11430.000000000005</v>
      </c>
      <c r="CE24" s="62">
        <v>128124.89205717211</v>
      </c>
      <c r="CF24" s="62">
        <v>14.236099117463567</v>
      </c>
      <c r="CH24" s="62">
        <v>121837.20404492388</v>
      </c>
      <c r="CI24" s="62">
        <v>13.537467116102654</v>
      </c>
      <c r="CJ24" s="62">
        <v>0.69863200136091308</v>
      </c>
      <c r="CK24" s="781"/>
      <c r="CL24" s="781"/>
      <c r="CM24" s="781"/>
      <c r="CN24" s="62">
        <v>661640.94507081795</v>
      </c>
      <c r="CV24" s="62">
        <v>494215.5892302132</v>
      </c>
      <c r="CW24" s="62">
        <v>0</v>
      </c>
      <c r="CX24" s="62">
        <v>0</v>
      </c>
      <c r="CZ24" s="62">
        <v>0</v>
      </c>
      <c r="DA24" s="62">
        <v>21640.799999999996</v>
      </c>
      <c r="DB24" s="62">
        <v>28439.600000000039</v>
      </c>
      <c r="DC24" s="62">
        <v>7581.4199999999983</v>
      </c>
      <c r="DD24" s="62">
        <v>15162.979999999998</v>
      </c>
      <c r="DE24" s="62">
        <v>0</v>
      </c>
      <c r="DN24" s="62">
        <v>14748.709444692033</v>
      </c>
      <c r="DO24" s="62">
        <v>0</v>
      </c>
      <c r="DP24" s="62">
        <v>0</v>
      </c>
      <c r="DR24" s="62">
        <v>494215.5892302132</v>
      </c>
      <c r="DS24" s="62">
        <v>0</v>
      </c>
      <c r="DT24" s="62">
        <v>0</v>
      </c>
      <c r="DV24" s="62">
        <v>508964.29867490521</v>
      </c>
      <c r="DW24" s="62">
        <v>0</v>
      </c>
      <c r="DX24" s="62">
        <v>0</v>
      </c>
      <c r="DZ24" s="62">
        <v>21504.424042599509</v>
      </c>
      <c r="EB24" s="62">
        <v>788064.98455810943</v>
      </c>
      <c r="EC24" s="62">
        <v>202</v>
      </c>
      <c r="ED24" s="62">
        <v>3901.3118047431158</v>
      </c>
      <c r="EE24" s="62">
        <v>791628.18028186902</v>
      </c>
      <c r="EF24" s="62">
        <v>200</v>
      </c>
      <c r="EG24" s="62">
        <v>3958.1409014093451</v>
      </c>
      <c r="EI24" s="62">
        <v>-56.829096666229361</v>
      </c>
      <c r="EJ24" s="62">
        <v>-3563.1957237595925</v>
      </c>
      <c r="EK24" s="62" t="s">
        <v>616</v>
      </c>
      <c r="EL24" s="789">
        <v>-4.5010976270335309E-3</v>
      </c>
      <c r="EO24" s="62">
        <v>14748.709444692033</v>
      </c>
      <c r="ER24" s="62">
        <v>494215.5892302132</v>
      </c>
      <c r="ET24" s="62">
        <v>-73.013413092534819</v>
      </c>
      <c r="EX24" s="62">
        <v>788064.98511341738</v>
      </c>
      <c r="EY24" s="62">
        <v>783145.36911341734</v>
      </c>
      <c r="FA24" s="62">
        <v>797894.07855810935</v>
      </c>
    </row>
    <row r="25" spans="1:157" x14ac:dyDescent="0.2">
      <c r="A25" s="241" t="s">
        <v>12</v>
      </c>
      <c r="B25" s="793">
        <v>5201</v>
      </c>
      <c r="C25" s="241">
        <v>377</v>
      </c>
      <c r="D25" s="241">
        <v>0</v>
      </c>
      <c r="E25" s="241">
        <v>0</v>
      </c>
      <c r="F25" s="241">
        <v>377</v>
      </c>
      <c r="G25" s="241">
        <v>0</v>
      </c>
      <c r="H25" s="241">
        <v>0</v>
      </c>
      <c r="I25" s="241">
        <v>0</v>
      </c>
      <c r="J25" s="241">
        <v>377</v>
      </c>
      <c r="K25" s="241">
        <v>0</v>
      </c>
      <c r="L25" s="241">
        <v>0</v>
      </c>
      <c r="M25" s="241">
        <v>377</v>
      </c>
      <c r="N25" s="62">
        <v>922372.6591078731</v>
      </c>
      <c r="O25" s="241"/>
      <c r="P25" s="241">
        <v>56.248399999999997</v>
      </c>
      <c r="Q25" s="241">
        <v>26.999999999999996</v>
      </c>
      <c r="R25" s="241">
        <v>69.999999999999886</v>
      </c>
      <c r="S25" s="241">
        <v>7.9999999999999876</v>
      </c>
      <c r="T25" s="241">
        <v>0.99999999999999845</v>
      </c>
      <c r="U25" s="241">
        <v>3.9999999999999938</v>
      </c>
      <c r="V25" s="241">
        <v>0</v>
      </c>
      <c r="W25" s="241">
        <v>166.24839999999989</v>
      </c>
      <c r="X25" s="241"/>
      <c r="Y25" s="241"/>
      <c r="Z25" s="241">
        <v>60562.089796</v>
      </c>
      <c r="AA25" s="241"/>
      <c r="AB25" s="794">
        <v>30711.499999999956</v>
      </c>
      <c r="AC25" s="794"/>
      <c r="AD25" s="795">
        <v>91273.589795999957</v>
      </c>
      <c r="AE25" s="241">
        <v>0</v>
      </c>
      <c r="AF25" s="120">
        <v>0</v>
      </c>
      <c r="AG25" s="120">
        <v>0</v>
      </c>
      <c r="AH25" s="795">
        <v>0</v>
      </c>
      <c r="AI25" s="120">
        <v>0</v>
      </c>
      <c r="AJ25" s="120">
        <v>0</v>
      </c>
      <c r="AK25" s="120">
        <v>0</v>
      </c>
      <c r="AL25" s="120">
        <v>0</v>
      </c>
      <c r="AM25" s="795">
        <v>0</v>
      </c>
      <c r="AN25" s="120">
        <v>16.000000000000011</v>
      </c>
      <c r="AO25" s="120">
        <v>0</v>
      </c>
      <c r="AP25" s="795">
        <v>12192.000000000007</v>
      </c>
      <c r="AQ25" s="795">
        <v>0</v>
      </c>
      <c r="AR25" s="795">
        <v>12192.000000000007</v>
      </c>
      <c r="AS25" s="795">
        <v>100000</v>
      </c>
      <c r="AT25" s="120">
        <v>0</v>
      </c>
      <c r="AU25" s="120">
        <v>10812.464</v>
      </c>
      <c r="AV25" s="120">
        <v>0</v>
      </c>
      <c r="AW25" s="120">
        <v>1136650.7129038731</v>
      </c>
      <c r="AY25" s="120">
        <v>49869.481738592847</v>
      </c>
      <c r="AZ25" s="120">
        <v>0</v>
      </c>
      <c r="BA25" s="120">
        <v>27526.056735885628</v>
      </c>
      <c r="BB25" s="120">
        <v>27526.06</v>
      </c>
      <c r="BC25" s="821">
        <v>1214046.2513783511</v>
      </c>
      <c r="BD25" s="808">
        <v>-27526.056735885628</v>
      </c>
      <c r="BE25" s="808">
        <v>22302.6</v>
      </c>
      <c r="BG25" s="808">
        <v>21022.671257145448</v>
      </c>
      <c r="BI25" s="808">
        <v>22400</v>
      </c>
      <c r="BM25" s="821">
        <v>78368.187399999995</v>
      </c>
      <c r="BN25" s="821"/>
      <c r="BP25" s="808">
        <v>1330613.6532996111</v>
      </c>
      <c r="BQ25" s="808">
        <v>377</v>
      </c>
      <c r="BR25" s="814">
        <v>362</v>
      </c>
      <c r="BS25" s="814">
        <v>15</v>
      </c>
      <c r="BT25" s="814">
        <v>1309786.8480843657</v>
      </c>
      <c r="BU25" s="814">
        <v>20826.805215245811</v>
      </c>
      <c r="BV25" s="814">
        <v>362</v>
      </c>
      <c r="BW25" s="814">
        <v>1388.4536810163875</v>
      </c>
      <c r="BY25" s="62">
        <v>99905</v>
      </c>
      <c r="BZ25" s="62">
        <v>36509.435918399984</v>
      </c>
      <c r="CA25" s="62">
        <v>0</v>
      </c>
      <c r="CB25" s="62">
        <v>0</v>
      </c>
      <c r="CC25" s="62">
        <v>0</v>
      </c>
      <c r="CD25" s="62">
        <v>12192.000000000007</v>
      </c>
      <c r="CE25" s="62">
        <v>148606.43591839998</v>
      </c>
      <c r="CF25" s="62">
        <v>16.511826213155555</v>
      </c>
      <c r="CH25" s="62">
        <v>92267.722847688157</v>
      </c>
      <c r="CI25" s="62">
        <v>10.251969205298684</v>
      </c>
      <c r="CJ25" s="62">
        <v>6.2598570078568709</v>
      </c>
      <c r="CK25" s="781"/>
      <c r="CL25" s="781"/>
      <c r="CM25" s="781"/>
      <c r="CN25" s="62">
        <v>1025838.248903873</v>
      </c>
      <c r="CV25" s="62">
        <v>922372.6591078731</v>
      </c>
      <c r="CW25" s="62">
        <v>0</v>
      </c>
      <c r="CX25" s="62">
        <v>0</v>
      </c>
      <c r="CZ25" s="62">
        <v>3651.7499999999995</v>
      </c>
      <c r="DA25" s="62">
        <v>18935.699999999968</v>
      </c>
      <c r="DB25" s="62">
        <v>3250.2399999999948</v>
      </c>
      <c r="DC25" s="62">
        <v>541.52999999999918</v>
      </c>
      <c r="DD25" s="62">
        <v>4332.2799999999934</v>
      </c>
      <c r="DE25" s="62">
        <v>0</v>
      </c>
      <c r="DN25" s="62">
        <v>27526.056735885628</v>
      </c>
      <c r="DO25" s="62">
        <v>0</v>
      </c>
      <c r="DP25" s="62">
        <v>0</v>
      </c>
      <c r="DR25" s="62">
        <v>922372.6591078731</v>
      </c>
      <c r="DS25" s="62">
        <v>0</v>
      </c>
      <c r="DT25" s="62">
        <v>0</v>
      </c>
      <c r="DV25" s="62">
        <v>949898.71584375878</v>
      </c>
      <c r="DW25" s="62">
        <v>0</v>
      </c>
      <c r="DX25" s="62">
        <v>0</v>
      </c>
      <c r="DZ25" s="62">
        <v>49869.481738592847</v>
      </c>
      <c r="EB25" s="62">
        <v>1186520.1913783515</v>
      </c>
      <c r="EC25" s="62">
        <v>377</v>
      </c>
      <c r="ED25" s="62">
        <v>3147.2684121441685</v>
      </c>
      <c r="EE25" s="62">
        <v>1156137.05903925</v>
      </c>
      <c r="EF25" s="62">
        <v>361</v>
      </c>
      <c r="EG25" s="62">
        <v>3202.5957314106649</v>
      </c>
      <c r="EI25" s="62">
        <v>-55.327319266496488</v>
      </c>
      <c r="EJ25" s="62">
        <v>30383.132339101518</v>
      </c>
      <c r="EK25" s="62" t="s">
        <v>681</v>
      </c>
      <c r="EL25" s="789">
        <v>2.6279870627406325E-2</v>
      </c>
      <c r="EO25" s="62">
        <v>27526.056735885628</v>
      </c>
      <c r="ER25" s="62">
        <v>922372.6591078731</v>
      </c>
      <c r="ET25" s="62">
        <v>-73.013413092534819</v>
      </c>
      <c r="EX25" s="62">
        <v>1186520.194642466</v>
      </c>
      <c r="EY25" s="62">
        <v>1175707.7306424661</v>
      </c>
      <c r="FA25" s="62">
        <v>1203233.7873783517</v>
      </c>
    </row>
    <row r="26" spans="1:157" x14ac:dyDescent="0.2">
      <c r="A26" s="241" t="s">
        <v>618</v>
      </c>
      <c r="B26" s="793">
        <v>2007</v>
      </c>
      <c r="C26" s="241">
        <v>256</v>
      </c>
      <c r="D26" s="241">
        <v>0</v>
      </c>
      <c r="E26" s="241">
        <v>0</v>
      </c>
      <c r="F26" s="241">
        <v>256</v>
      </c>
      <c r="G26" s="241">
        <v>0</v>
      </c>
      <c r="H26" s="241">
        <v>0</v>
      </c>
      <c r="I26" s="241">
        <v>0</v>
      </c>
      <c r="J26" s="241">
        <v>256</v>
      </c>
      <c r="K26" s="241">
        <v>0</v>
      </c>
      <c r="L26" s="241">
        <v>0</v>
      </c>
      <c r="M26" s="241">
        <v>256</v>
      </c>
      <c r="N26" s="62">
        <v>626332.62793531967</v>
      </c>
      <c r="O26" s="241"/>
      <c r="P26" s="241">
        <v>142.6944</v>
      </c>
      <c r="Q26" s="241">
        <v>0</v>
      </c>
      <c r="R26" s="241">
        <v>27.320158102766847</v>
      </c>
      <c r="S26" s="241">
        <v>28.332015810276609</v>
      </c>
      <c r="T26" s="241">
        <v>119.39920948616601</v>
      </c>
      <c r="U26" s="241">
        <v>49.581027667984131</v>
      </c>
      <c r="V26" s="241">
        <v>13.154150197628468</v>
      </c>
      <c r="W26" s="241">
        <v>380.4809612648221</v>
      </c>
      <c r="X26" s="241"/>
      <c r="Y26" s="241"/>
      <c r="Z26" s="241">
        <v>153637.63353600001</v>
      </c>
      <c r="AA26" s="241"/>
      <c r="AB26" s="794">
        <v>151505.95035573115</v>
      </c>
      <c r="AC26" s="794"/>
      <c r="AD26" s="795">
        <v>305143.58389173116</v>
      </c>
      <c r="AE26" s="241">
        <v>4.1967213114754101</v>
      </c>
      <c r="AF26" s="120">
        <v>6953.9672131147545</v>
      </c>
      <c r="AG26" s="120">
        <v>0</v>
      </c>
      <c r="AH26" s="795">
        <v>0</v>
      </c>
      <c r="AI26" s="120">
        <v>36.226415094339586</v>
      </c>
      <c r="AJ26" s="120">
        <v>0</v>
      </c>
      <c r="AK26" s="120">
        <v>33787.652830188643</v>
      </c>
      <c r="AL26" s="120">
        <v>0</v>
      </c>
      <c r="AM26" s="795">
        <v>33787.652830188643</v>
      </c>
      <c r="AN26" s="120">
        <v>0</v>
      </c>
      <c r="AO26" s="120">
        <v>0</v>
      </c>
      <c r="AP26" s="795">
        <v>0</v>
      </c>
      <c r="AQ26" s="795">
        <v>0</v>
      </c>
      <c r="AR26" s="795">
        <v>0</v>
      </c>
      <c r="AS26" s="795">
        <v>100000</v>
      </c>
      <c r="AT26" s="120">
        <v>0</v>
      </c>
      <c r="AU26" s="120">
        <v>2961.9803199999988</v>
      </c>
      <c r="AV26" s="120">
        <v>0</v>
      </c>
      <c r="AW26" s="120">
        <v>1075179.8121903543</v>
      </c>
      <c r="AY26" s="120">
        <v>13928.421437207609</v>
      </c>
      <c r="AZ26" s="120">
        <v>0</v>
      </c>
      <c r="BA26" s="120">
        <v>18691.433751688914</v>
      </c>
      <c r="BB26" s="120">
        <v>18691.43</v>
      </c>
      <c r="BC26" s="821">
        <v>1107799.6673792507</v>
      </c>
      <c r="BD26" s="808">
        <v>0</v>
      </c>
      <c r="BE26" s="808">
        <v>22302.6</v>
      </c>
      <c r="BG26" s="808">
        <v>3003.2387510207782</v>
      </c>
      <c r="BM26" s="821">
        <v>98547.141406189607</v>
      </c>
      <c r="BN26" s="821"/>
      <c r="BP26" s="808">
        <v>1231652.6475364612</v>
      </c>
      <c r="BQ26" s="808">
        <v>256</v>
      </c>
      <c r="BR26" s="814">
        <v>244</v>
      </c>
      <c r="BS26" s="824">
        <v>12</v>
      </c>
      <c r="BT26" s="814">
        <v>1235185.6585356658</v>
      </c>
      <c r="BU26" s="824">
        <v>-3533.0109992045909</v>
      </c>
      <c r="BV26" s="814">
        <v>244</v>
      </c>
      <c r="BW26" s="814">
        <v>-294.41758326704922</v>
      </c>
      <c r="BY26" s="62">
        <v>67840</v>
      </c>
      <c r="BZ26" s="62">
        <v>122057.43355669247</v>
      </c>
      <c r="CA26" s="62">
        <v>15204.44377358489</v>
      </c>
      <c r="CB26" s="62">
        <v>6953.9672131147545</v>
      </c>
      <c r="CC26" s="62">
        <v>0</v>
      </c>
      <c r="CD26" s="62">
        <v>0</v>
      </c>
      <c r="CE26" s="62">
        <v>212055.8445433921</v>
      </c>
      <c r="CF26" s="62">
        <v>23.561760504821343</v>
      </c>
      <c r="CH26" s="62">
        <v>239051.18702317221</v>
      </c>
      <c r="CI26" s="62">
        <v>26.561243002574692</v>
      </c>
      <c r="CJ26" s="62">
        <v>-2.9994824977533483</v>
      </c>
      <c r="CK26" s="781"/>
      <c r="CL26" s="781" t="s">
        <v>616</v>
      </c>
      <c r="CM26" s="781"/>
      <c r="CN26" s="62">
        <v>972217.83187035425</v>
      </c>
      <c r="CV26" s="62">
        <v>626332.62793531967</v>
      </c>
      <c r="CW26" s="62">
        <v>0</v>
      </c>
      <c r="CX26" s="62">
        <v>0</v>
      </c>
      <c r="CZ26" s="62">
        <v>0</v>
      </c>
      <c r="DA26" s="62">
        <v>7390.3759683794597</v>
      </c>
      <c r="DB26" s="62">
        <v>11510.731383399179</v>
      </c>
      <c r="DC26" s="62">
        <v>64658.253913043482</v>
      </c>
      <c r="DD26" s="62">
        <v>53699.723636363567</v>
      </c>
      <c r="DE26" s="62">
        <v>14246.865454545465</v>
      </c>
      <c r="DN26" s="62">
        <v>18691.433751688914</v>
      </c>
      <c r="DO26" s="62">
        <v>0</v>
      </c>
      <c r="DP26" s="62">
        <v>0</v>
      </c>
      <c r="DR26" s="62">
        <v>626332.62793531967</v>
      </c>
      <c r="DS26" s="62">
        <v>0</v>
      </c>
      <c r="DT26" s="62">
        <v>0</v>
      </c>
      <c r="DV26" s="62">
        <v>645024.06168700859</v>
      </c>
      <c r="DW26" s="62">
        <v>0</v>
      </c>
      <c r="DX26" s="62">
        <v>0</v>
      </c>
      <c r="DZ26" s="62">
        <v>13928.421437207609</v>
      </c>
      <c r="EB26" s="62">
        <v>1089108.2373792508</v>
      </c>
      <c r="EC26" s="62">
        <v>256</v>
      </c>
      <c r="ED26" s="62">
        <v>4254.3290522626985</v>
      </c>
      <c r="EE26" s="62">
        <v>1075107.9167841973</v>
      </c>
      <c r="EF26" s="62">
        <v>248</v>
      </c>
      <c r="EG26" s="62">
        <v>4335.1125676782149</v>
      </c>
      <c r="EI26" s="62">
        <v>-80.783515415516376</v>
      </c>
      <c r="EJ26" s="62">
        <v>14000.32059505349</v>
      </c>
      <c r="EK26" s="62" t="s">
        <v>681</v>
      </c>
      <c r="EL26" s="789">
        <v>1.3022246768427179E-2</v>
      </c>
      <c r="EO26" s="62">
        <v>0</v>
      </c>
      <c r="EP26" s="701" t="s">
        <v>1022</v>
      </c>
      <c r="ER26" s="62">
        <v>645024.06168700859</v>
      </c>
      <c r="ET26" s="62">
        <v>0</v>
      </c>
      <c r="EU26" s="701"/>
      <c r="EV26" s="701" t="s">
        <v>1022</v>
      </c>
      <c r="EX26" s="62">
        <v>1107799.6673792507</v>
      </c>
      <c r="EY26" s="62">
        <v>1104837.6870592507</v>
      </c>
      <c r="FA26" s="62">
        <v>1104837.6870592507</v>
      </c>
    </row>
    <row r="27" spans="1:157" x14ac:dyDescent="0.2">
      <c r="A27" s="241" t="s">
        <v>14</v>
      </c>
      <c r="B27" s="793">
        <v>2433</v>
      </c>
      <c r="C27" s="241">
        <v>173</v>
      </c>
      <c r="D27" s="241">
        <v>0</v>
      </c>
      <c r="E27" s="241">
        <v>0</v>
      </c>
      <c r="F27" s="241">
        <v>173</v>
      </c>
      <c r="G27" s="241">
        <v>25</v>
      </c>
      <c r="H27" s="241">
        <v>0</v>
      </c>
      <c r="I27" s="241">
        <v>0</v>
      </c>
      <c r="J27" s="241">
        <v>148</v>
      </c>
      <c r="K27" s="241">
        <v>0</v>
      </c>
      <c r="L27" s="241">
        <v>0</v>
      </c>
      <c r="M27" s="241">
        <v>148</v>
      </c>
      <c r="N27" s="62">
        <v>362098.55052510666</v>
      </c>
      <c r="O27" s="241"/>
      <c r="P27" s="241">
        <v>53.812799999999996</v>
      </c>
      <c r="Q27" s="241">
        <v>21.38728323699419</v>
      </c>
      <c r="R27" s="241">
        <v>30.797687861271687</v>
      </c>
      <c r="S27" s="241">
        <v>46.196531791907454</v>
      </c>
      <c r="T27" s="241">
        <v>7.6994219653179128</v>
      </c>
      <c r="U27" s="241">
        <v>25.664739884392997</v>
      </c>
      <c r="V27" s="241">
        <v>2.5664739884392995</v>
      </c>
      <c r="W27" s="241">
        <v>188.12493872832354</v>
      </c>
      <c r="X27" s="241"/>
      <c r="Y27" s="241"/>
      <c r="Z27" s="241">
        <v>57939.703631999997</v>
      </c>
      <c r="AA27" s="241"/>
      <c r="AB27" s="794">
        <v>64738.288323699308</v>
      </c>
      <c r="AC27" s="794"/>
      <c r="AD27" s="795">
        <v>122677.99195569931</v>
      </c>
      <c r="AE27" s="241">
        <v>0</v>
      </c>
      <c r="AF27" s="120">
        <v>0</v>
      </c>
      <c r="AG27" s="120">
        <v>0</v>
      </c>
      <c r="AH27" s="795">
        <v>0</v>
      </c>
      <c r="AI27" s="120">
        <v>8.931034482758621</v>
      </c>
      <c r="AJ27" s="120">
        <v>0</v>
      </c>
      <c r="AK27" s="120">
        <v>8329.7972413793104</v>
      </c>
      <c r="AL27" s="120">
        <v>0</v>
      </c>
      <c r="AM27" s="795">
        <v>8329.7972413793104</v>
      </c>
      <c r="AN27" s="120">
        <v>10.265895953757228</v>
      </c>
      <c r="AO27" s="120">
        <v>0</v>
      </c>
      <c r="AP27" s="795">
        <v>7822.6127167630084</v>
      </c>
      <c r="AQ27" s="795">
        <v>0</v>
      </c>
      <c r="AR27" s="795">
        <v>7822.6127167630084</v>
      </c>
      <c r="AS27" s="795">
        <v>100000</v>
      </c>
      <c r="AT27" s="120">
        <v>0</v>
      </c>
      <c r="AU27" s="120">
        <v>7978.36</v>
      </c>
      <c r="AV27" s="120">
        <v>0</v>
      </c>
      <c r="AW27" s="120">
        <v>608907.31243894831</v>
      </c>
      <c r="AY27" s="120">
        <v>76129.180257647298</v>
      </c>
      <c r="AZ27" s="120">
        <v>0</v>
      </c>
      <c r="BA27" s="120">
        <v>10805.985137695154</v>
      </c>
      <c r="BB27" s="120">
        <v>10805.99</v>
      </c>
      <c r="BC27" s="821">
        <v>695842.47783429071</v>
      </c>
      <c r="BD27" s="808">
        <v>-10805.985137695154</v>
      </c>
      <c r="BE27" s="808">
        <v>22302.6</v>
      </c>
      <c r="BF27" s="808">
        <v>579682.68550177501</v>
      </c>
      <c r="BG27" s="808">
        <v>0</v>
      </c>
      <c r="BM27" s="821">
        <v>115663.64</v>
      </c>
      <c r="BN27" s="821"/>
      <c r="BP27" s="808">
        <v>1402685.4181983706</v>
      </c>
      <c r="BQ27" s="808">
        <v>148</v>
      </c>
      <c r="BR27" s="814">
        <v>176</v>
      </c>
      <c r="BS27" s="827">
        <v>-28</v>
      </c>
      <c r="BT27" s="814">
        <v>1370790.0067197359</v>
      </c>
      <c r="BU27" s="827">
        <v>31895.411478634691</v>
      </c>
      <c r="BV27" s="814">
        <v>176</v>
      </c>
      <c r="BW27" s="814">
        <v>-1139.1218385226675</v>
      </c>
      <c r="BY27" s="62">
        <v>39220</v>
      </c>
      <c r="BZ27" s="62">
        <v>49071.196782279731</v>
      </c>
      <c r="CA27" s="62">
        <v>3748.4087586206897</v>
      </c>
      <c r="CB27" s="62">
        <v>0</v>
      </c>
      <c r="CC27" s="62">
        <v>0</v>
      </c>
      <c r="CD27" s="62">
        <v>7822.6127167630084</v>
      </c>
      <c r="CE27" s="62">
        <v>99862.218257663422</v>
      </c>
      <c r="CF27" s="62">
        <v>11.095802028629269</v>
      </c>
      <c r="CH27" s="62">
        <v>598741.21271658083</v>
      </c>
      <c r="CI27" s="62">
        <v>66.526801412953432</v>
      </c>
      <c r="CJ27" s="62">
        <v>-55.430999384324167</v>
      </c>
      <c r="CK27" s="781" t="s">
        <v>614</v>
      </c>
      <c r="CL27" s="781" t="s">
        <v>616</v>
      </c>
      <c r="CM27" s="781"/>
      <c r="CN27" s="62">
        <v>500928.95243894833</v>
      </c>
      <c r="CV27" s="62">
        <v>362098.55052510666</v>
      </c>
      <c r="CW27" s="62">
        <v>0</v>
      </c>
      <c r="CX27" s="62">
        <v>0</v>
      </c>
      <c r="CZ27" s="62">
        <v>2892.6300578034643</v>
      </c>
      <c r="DA27" s="62">
        <v>8331.0825433526043</v>
      </c>
      <c r="DB27" s="62">
        <v>18768.726936416158</v>
      </c>
      <c r="DC27" s="62">
        <v>4169.4679768786091</v>
      </c>
      <c r="DD27" s="62">
        <v>27796.709826589522</v>
      </c>
      <c r="DE27" s="62">
        <v>2779.6709826589522</v>
      </c>
      <c r="DN27" s="62">
        <v>10805.985137695154</v>
      </c>
      <c r="DO27" s="62">
        <v>0</v>
      </c>
      <c r="DP27" s="62">
        <v>0</v>
      </c>
      <c r="DR27" s="62">
        <v>362098.55052510666</v>
      </c>
      <c r="DS27" s="62">
        <v>0</v>
      </c>
      <c r="DT27" s="62">
        <v>0</v>
      </c>
      <c r="DV27" s="62">
        <v>372904.53566280182</v>
      </c>
      <c r="DW27" s="62">
        <v>0</v>
      </c>
      <c r="DX27" s="62">
        <v>0</v>
      </c>
      <c r="DZ27" s="62">
        <v>76129.180257647298</v>
      </c>
      <c r="EB27" s="62">
        <v>685036.48783429072</v>
      </c>
      <c r="EC27" s="62">
        <v>148</v>
      </c>
      <c r="ED27" s="62">
        <v>4628.6249177992613</v>
      </c>
      <c r="EE27" s="62">
        <v>693517.31999654393</v>
      </c>
      <c r="EF27" s="62">
        <v>175</v>
      </c>
      <c r="EG27" s="62">
        <v>3962.9561142659654</v>
      </c>
      <c r="EI27" s="62">
        <v>665.66880353329589</v>
      </c>
      <c r="EJ27" s="62">
        <v>-8480.8321622532094</v>
      </c>
      <c r="EK27" s="62" t="s">
        <v>616</v>
      </c>
      <c r="EL27" s="789">
        <v>-1.2228724384699538E-2</v>
      </c>
      <c r="EM27" s="701"/>
      <c r="EO27" s="62">
        <v>10805.985137695154</v>
      </c>
      <c r="ER27" s="62">
        <v>362098.55052510666</v>
      </c>
      <c r="ET27" s="62">
        <v>-73.013413092534819</v>
      </c>
      <c r="EX27" s="62">
        <v>685036.49269659561</v>
      </c>
      <c r="EY27" s="62">
        <v>677058.13269659563</v>
      </c>
      <c r="FA27" s="62">
        <v>687864.11783429072</v>
      </c>
    </row>
    <row r="28" spans="1:157" x14ac:dyDescent="0.2">
      <c r="A28" s="241" t="s">
        <v>15</v>
      </c>
      <c r="B28" s="793">
        <v>2432</v>
      </c>
      <c r="C28" s="241">
        <v>239</v>
      </c>
      <c r="D28" s="241">
        <v>0</v>
      </c>
      <c r="E28" s="241">
        <v>0</v>
      </c>
      <c r="F28" s="241">
        <v>239</v>
      </c>
      <c r="G28" s="241">
        <v>38</v>
      </c>
      <c r="H28" s="241">
        <v>0</v>
      </c>
      <c r="I28" s="241">
        <v>0</v>
      </c>
      <c r="J28" s="241">
        <v>201</v>
      </c>
      <c r="K28" s="241">
        <v>0</v>
      </c>
      <c r="L28" s="241">
        <v>0</v>
      </c>
      <c r="M28" s="241">
        <v>201</v>
      </c>
      <c r="N28" s="62">
        <v>491768.97740234085</v>
      </c>
      <c r="O28" s="241"/>
      <c r="P28" s="241">
        <v>102.83159999999999</v>
      </c>
      <c r="Q28" s="241">
        <v>52.142259414226025</v>
      </c>
      <c r="R28" s="241">
        <v>42.050209205020899</v>
      </c>
      <c r="S28" s="241">
        <v>38.686192468619261</v>
      </c>
      <c r="T28" s="241">
        <v>7.5690376569037703</v>
      </c>
      <c r="U28" s="241">
        <v>31.958158995815982</v>
      </c>
      <c r="V28" s="241">
        <v>5.8870292887029301</v>
      </c>
      <c r="W28" s="241">
        <v>281.12448702928884</v>
      </c>
      <c r="X28" s="241"/>
      <c r="Y28" s="241"/>
      <c r="Z28" s="241">
        <v>110717.755404</v>
      </c>
      <c r="AA28" s="241"/>
      <c r="AB28" s="794">
        <v>79232.517991631903</v>
      </c>
      <c r="AC28" s="794"/>
      <c r="AD28" s="795">
        <v>189950.2733956319</v>
      </c>
      <c r="AE28" s="241">
        <v>0.93488372093023253</v>
      </c>
      <c r="AF28" s="120">
        <v>1549.1023255813952</v>
      </c>
      <c r="AG28" s="120">
        <v>0</v>
      </c>
      <c r="AH28" s="795">
        <v>0</v>
      </c>
      <c r="AI28" s="120">
        <v>5.8870292887029301</v>
      </c>
      <c r="AJ28" s="120">
        <v>0</v>
      </c>
      <c r="AK28" s="120">
        <v>5490.7144769874485</v>
      </c>
      <c r="AL28" s="120">
        <v>0</v>
      </c>
      <c r="AM28" s="795">
        <v>5490.7144769874485</v>
      </c>
      <c r="AN28" s="120">
        <v>16.820083682008363</v>
      </c>
      <c r="AO28" s="120">
        <v>0</v>
      </c>
      <c r="AP28" s="795">
        <v>12816.903765690373</v>
      </c>
      <c r="AQ28" s="795">
        <v>0</v>
      </c>
      <c r="AR28" s="795">
        <v>12816.903765690373</v>
      </c>
      <c r="AS28" s="795">
        <v>100000</v>
      </c>
      <c r="AT28" s="120">
        <v>0</v>
      </c>
      <c r="AU28" s="120">
        <v>7978.36</v>
      </c>
      <c r="AV28" s="120">
        <v>0</v>
      </c>
      <c r="AW28" s="120">
        <v>809554.3313662319</v>
      </c>
      <c r="AY28" s="120">
        <v>34725.943789041718</v>
      </c>
      <c r="AZ28" s="120">
        <v>0</v>
      </c>
      <c r="BA28" s="120">
        <v>14675.696031599498</v>
      </c>
      <c r="BB28" s="120">
        <v>14675.7</v>
      </c>
      <c r="BC28" s="821">
        <v>858955.97118687327</v>
      </c>
      <c r="BD28" s="808">
        <v>-14675.696031599498</v>
      </c>
      <c r="BE28" s="808">
        <v>0</v>
      </c>
      <c r="BF28" s="808">
        <v>741792.01330461423</v>
      </c>
      <c r="BG28" s="808">
        <v>1251.349479591991</v>
      </c>
      <c r="BJ28" s="808">
        <v>9507</v>
      </c>
      <c r="BM28" s="821">
        <v>0</v>
      </c>
      <c r="BN28" s="821"/>
      <c r="BP28" s="808">
        <v>1596830.6379394799</v>
      </c>
      <c r="BQ28" s="808">
        <v>201</v>
      </c>
      <c r="BR28" s="814">
        <v>215</v>
      </c>
      <c r="BS28" s="824">
        <v>-14</v>
      </c>
      <c r="BT28" s="814">
        <v>1480126.7734234058</v>
      </c>
      <c r="BU28" s="824">
        <v>116703.86451607384</v>
      </c>
      <c r="BV28" s="814">
        <v>215</v>
      </c>
      <c r="BW28" s="814">
        <v>-8335.990322576703</v>
      </c>
      <c r="BY28" s="62">
        <v>53265</v>
      </c>
      <c r="BZ28" s="62">
        <v>75980.109358252768</v>
      </c>
      <c r="CA28" s="62">
        <v>2470.8215146443517</v>
      </c>
      <c r="CB28" s="62">
        <v>1549.1023255813952</v>
      </c>
      <c r="CC28" s="62">
        <v>0</v>
      </c>
      <c r="CD28" s="62">
        <v>12816.903765690373</v>
      </c>
      <c r="CE28" s="62">
        <v>146081.93696416888</v>
      </c>
      <c r="CF28" s="62">
        <v>16.231326329352097</v>
      </c>
      <c r="CH28" s="62">
        <v>770062.30519794696</v>
      </c>
      <c r="CI28" s="62">
        <v>85.562478355327443</v>
      </c>
      <c r="CJ28" s="62">
        <v>-69.331152025975342</v>
      </c>
      <c r="CK28" s="781" t="s">
        <v>614</v>
      </c>
      <c r="CL28" s="781" t="s">
        <v>616</v>
      </c>
      <c r="CM28" s="781"/>
      <c r="CN28" s="62">
        <v>701575.97136623203</v>
      </c>
      <c r="CV28" s="62">
        <v>491768.97740234085</v>
      </c>
      <c r="CW28" s="62">
        <v>0</v>
      </c>
      <c r="CX28" s="62">
        <v>0</v>
      </c>
      <c r="CZ28" s="62">
        <v>7052.2405857740696</v>
      </c>
      <c r="DA28" s="62">
        <v>11375.002092050203</v>
      </c>
      <c r="DB28" s="62">
        <v>15717.426276150632</v>
      </c>
      <c r="DC28" s="62">
        <v>4098.8609623430984</v>
      </c>
      <c r="DD28" s="62">
        <v>34612.923263598415</v>
      </c>
      <c r="DE28" s="62">
        <v>6376.0648117154824</v>
      </c>
      <c r="DN28" s="62">
        <v>14675.696031599498</v>
      </c>
      <c r="DO28" s="62">
        <v>0</v>
      </c>
      <c r="DP28" s="62">
        <v>0</v>
      </c>
      <c r="DR28" s="62">
        <v>491768.97740234085</v>
      </c>
      <c r="DS28" s="62">
        <v>0</v>
      </c>
      <c r="DT28" s="62">
        <v>0</v>
      </c>
      <c r="DV28" s="62">
        <v>506444.67343394033</v>
      </c>
      <c r="DW28" s="62">
        <v>0</v>
      </c>
      <c r="DX28" s="62">
        <v>0</v>
      </c>
      <c r="DZ28" s="62">
        <v>34725.943789041718</v>
      </c>
      <c r="EB28" s="62">
        <v>844280.2711868732</v>
      </c>
      <c r="EC28" s="62">
        <v>201</v>
      </c>
      <c r="ED28" s="62">
        <v>4200.3993591386725</v>
      </c>
      <c r="EE28" s="62">
        <v>758492.69934425782</v>
      </c>
      <c r="EF28" s="62">
        <v>214</v>
      </c>
      <c r="EG28" s="62">
        <v>3544.3584081507374</v>
      </c>
      <c r="EI28" s="62">
        <v>656.04095098793505</v>
      </c>
      <c r="EJ28" s="62">
        <v>85787.571842615376</v>
      </c>
      <c r="EK28" s="62" t="s">
        <v>681</v>
      </c>
      <c r="EL28" s="789">
        <v>0.11310269949438087</v>
      </c>
      <c r="EM28" s="701"/>
      <c r="EO28" s="62">
        <v>14675.696031599498</v>
      </c>
      <c r="ER28" s="62">
        <v>491768.97740234085</v>
      </c>
      <c r="ET28" s="62">
        <v>-73.013413092534819</v>
      </c>
      <c r="EX28" s="62">
        <v>844280.27515527362</v>
      </c>
      <c r="EY28" s="62">
        <v>836301.91515527363</v>
      </c>
      <c r="FA28" s="62">
        <v>850977.61118687317</v>
      </c>
    </row>
    <row r="29" spans="1:157" x14ac:dyDescent="0.2">
      <c r="A29" s="241" t="s">
        <v>16</v>
      </c>
      <c r="B29" s="793">
        <v>2446</v>
      </c>
      <c r="C29" s="241">
        <v>171</v>
      </c>
      <c r="D29" s="241">
        <v>0</v>
      </c>
      <c r="E29" s="241">
        <v>0</v>
      </c>
      <c r="F29" s="241">
        <v>171</v>
      </c>
      <c r="G29" s="241">
        <v>0</v>
      </c>
      <c r="H29" s="241">
        <v>0</v>
      </c>
      <c r="I29" s="241">
        <v>0</v>
      </c>
      <c r="J29" s="241">
        <v>171</v>
      </c>
      <c r="K29" s="241">
        <v>0</v>
      </c>
      <c r="L29" s="241">
        <v>0</v>
      </c>
      <c r="M29" s="241">
        <v>171</v>
      </c>
      <c r="N29" s="62">
        <v>418370.62256617058</v>
      </c>
      <c r="O29" s="241"/>
      <c r="P29" s="241">
        <v>50.479200000000006</v>
      </c>
      <c r="Q29" s="241">
        <v>25.29585798816564</v>
      </c>
      <c r="R29" s="241">
        <v>40.473372781065024</v>
      </c>
      <c r="S29" s="241">
        <v>4.047337278106502</v>
      </c>
      <c r="T29" s="241">
        <v>25.29585798816564</v>
      </c>
      <c r="U29" s="241">
        <v>27.319526627218856</v>
      </c>
      <c r="V29" s="241">
        <v>0</v>
      </c>
      <c r="W29" s="241">
        <v>172.91115266272166</v>
      </c>
      <c r="X29" s="241"/>
      <c r="Y29" s="241"/>
      <c r="Z29" s="241">
        <v>54350.449848000011</v>
      </c>
      <c r="AA29" s="241"/>
      <c r="AB29" s="794">
        <v>59301.494733727675</v>
      </c>
      <c r="AC29" s="794"/>
      <c r="AD29" s="795">
        <v>113651.94458172769</v>
      </c>
      <c r="AE29" s="241">
        <v>3.0903614457831323</v>
      </c>
      <c r="AF29" s="120">
        <v>5120.7289156626503</v>
      </c>
      <c r="AG29" s="120">
        <v>0</v>
      </c>
      <c r="AH29" s="795">
        <v>0</v>
      </c>
      <c r="AI29" s="120">
        <v>18.48648648648647</v>
      </c>
      <c r="AJ29" s="120">
        <v>0</v>
      </c>
      <c r="AK29" s="120">
        <v>17241.976216216201</v>
      </c>
      <c r="AL29" s="120">
        <v>0</v>
      </c>
      <c r="AM29" s="795">
        <v>17241.976216216201</v>
      </c>
      <c r="AN29" s="120">
        <v>7.9999999999999911</v>
      </c>
      <c r="AO29" s="120">
        <v>0</v>
      </c>
      <c r="AP29" s="795">
        <v>6095.9999999999936</v>
      </c>
      <c r="AQ29" s="795">
        <v>0</v>
      </c>
      <c r="AR29" s="795">
        <v>6095.9999999999936</v>
      </c>
      <c r="AS29" s="795">
        <v>100000</v>
      </c>
      <c r="AT29" s="120">
        <v>0</v>
      </c>
      <c r="AU29" s="120">
        <v>8811.92</v>
      </c>
      <c r="AV29" s="120">
        <v>0</v>
      </c>
      <c r="AW29" s="120">
        <v>669293.19227977714</v>
      </c>
      <c r="AY29" s="120">
        <v>14417.980572646484</v>
      </c>
      <c r="AZ29" s="120">
        <v>0</v>
      </c>
      <c r="BA29" s="120">
        <v>12485.293638823454</v>
      </c>
      <c r="BB29" s="120">
        <v>12485.29</v>
      </c>
      <c r="BC29" s="821">
        <v>696196.46649124706</v>
      </c>
      <c r="BD29" s="808">
        <v>-12485.293638823454</v>
      </c>
      <c r="BE29" s="808">
        <v>22302.6</v>
      </c>
      <c r="BG29" s="808">
        <v>8509.1764612255392</v>
      </c>
      <c r="BI29" s="808">
        <v>7508</v>
      </c>
      <c r="BM29" s="821">
        <v>120794.99399999999</v>
      </c>
      <c r="BN29" s="821"/>
      <c r="BP29" s="808">
        <v>842825.94331364904</v>
      </c>
      <c r="BQ29" s="808">
        <v>171</v>
      </c>
      <c r="BR29" s="814">
        <v>166</v>
      </c>
      <c r="BS29" s="814">
        <v>5</v>
      </c>
      <c r="BT29" s="814">
        <v>813711.72078300745</v>
      </c>
      <c r="BU29" s="814">
        <v>29114.222530641593</v>
      </c>
      <c r="BV29" s="814">
        <v>166</v>
      </c>
      <c r="BW29" s="814">
        <v>5822.8445061283182</v>
      </c>
      <c r="BY29" s="62">
        <v>45315</v>
      </c>
      <c r="BZ29" s="62">
        <v>45460.777832691077</v>
      </c>
      <c r="CA29" s="62">
        <v>7758.8892972972908</v>
      </c>
      <c r="CB29" s="62">
        <v>5120.7289156626503</v>
      </c>
      <c r="CC29" s="62">
        <v>0</v>
      </c>
      <c r="CD29" s="62">
        <v>6095.9999999999936</v>
      </c>
      <c r="CE29" s="62">
        <v>109751.39604565102</v>
      </c>
      <c r="CF29" s="62">
        <v>12.194599560627891</v>
      </c>
      <c r="CH29" s="62">
        <v>99448.936685985784</v>
      </c>
      <c r="CI29" s="62">
        <v>11.04988185399842</v>
      </c>
      <c r="CJ29" s="62">
        <v>1.1447177066294714</v>
      </c>
      <c r="CK29" s="781"/>
      <c r="CL29" s="781"/>
      <c r="CM29" s="781"/>
      <c r="CN29" s="62">
        <v>560481.2722797771</v>
      </c>
      <c r="CV29" s="62">
        <v>418370.62256617058</v>
      </c>
      <c r="CW29" s="62">
        <v>0</v>
      </c>
      <c r="CX29" s="62">
        <v>0</v>
      </c>
      <c r="CZ29" s="62">
        <v>3421.2647928994029</v>
      </c>
      <c r="DA29" s="62">
        <v>10948.452071005899</v>
      </c>
      <c r="DB29" s="62">
        <v>1644.3521893491095</v>
      </c>
      <c r="DC29" s="62">
        <v>13698.465976331338</v>
      </c>
      <c r="DD29" s="62">
        <v>29588.959704141926</v>
      </c>
      <c r="DE29" s="62">
        <v>0</v>
      </c>
      <c r="DN29" s="62">
        <v>12485.293638823454</v>
      </c>
      <c r="DO29" s="62">
        <v>0</v>
      </c>
      <c r="DP29" s="62">
        <v>0</v>
      </c>
      <c r="DR29" s="62">
        <v>418370.62256617058</v>
      </c>
      <c r="DS29" s="62">
        <v>0</v>
      </c>
      <c r="DT29" s="62">
        <v>0</v>
      </c>
      <c r="DV29" s="62">
        <v>430855.91620499402</v>
      </c>
      <c r="DW29" s="62">
        <v>0</v>
      </c>
      <c r="DX29" s="62">
        <v>0</v>
      </c>
      <c r="DZ29" s="62">
        <v>14417.980572646484</v>
      </c>
      <c r="EB29" s="62">
        <v>683711.17649124702</v>
      </c>
      <c r="EC29" s="62">
        <v>171</v>
      </c>
      <c r="ED29" s="62">
        <v>3998.3109736330234</v>
      </c>
      <c r="EE29" s="62">
        <v>671647.97385133663</v>
      </c>
      <c r="EF29" s="62">
        <v>165</v>
      </c>
      <c r="EG29" s="62">
        <v>4070.5937809171919</v>
      </c>
      <c r="EI29" s="62">
        <v>-72.282807284168484</v>
      </c>
      <c r="EJ29" s="62">
        <v>12063.202639910392</v>
      </c>
      <c r="EK29" s="62" t="s">
        <v>681</v>
      </c>
      <c r="EL29" s="789">
        <v>1.7960603038431076E-2</v>
      </c>
      <c r="EO29" s="62">
        <v>12485.293638823454</v>
      </c>
      <c r="ER29" s="62">
        <v>418370.62256617058</v>
      </c>
      <c r="ET29" s="62">
        <v>-73.013413092534819</v>
      </c>
      <c r="EX29" s="62">
        <v>683711.17285242362</v>
      </c>
      <c r="EY29" s="62">
        <v>674899.25285242358</v>
      </c>
      <c r="FA29" s="62">
        <v>687384.54649124702</v>
      </c>
    </row>
    <row r="30" spans="1:157" x14ac:dyDescent="0.2">
      <c r="A30" s="241" t="s">
        <v>17</v>
      </c>
      <c r="B30" s="793">
        <v>2447</v>
      </c>
      <c r="C30" s="241">
        <v>210</v>
      </c>
      <c r="D30" s="241">
        <v>0</v>
      </c>
      <c r="E30" s="241">
        <v>0</v>
      </c>
      <c r="F30" s="241">
        <v>210</v>
      </c>
      <c r="G30" s="241">
        <v>0</v>
      </c>
      <c r="H30" s="241">
        <v>0</v>
      </c>
      <c r="I30" s="241">
        <v>0</v>
      </c>
      <c r="J30" s="241">
        <v>210</v>
      </c>
      <c r="K30" s="241">
        <v>0</v>
      </c>
      <c r="L30" s="241">
        <v>0</v>
      </c>
      <c r="M30" s="241">
        <v>210</v>
      </c>
      <c r="N30" s="62">
        <v>513788.48385319189</v>
      </c>
      <c r="O30" s="241"/>
      <c r="P30" s="241">
        <v>91.685999999999993</v>
      </c>
      <c r="Q30" s="241">
        <v>47.000000000000043</v>
      </c>
      <c r="R30" s="241">
        <v>40.99999999999995</v>
      </c>
      <c r="S30" s="241">
        <v>9.0000000000000089</v>
      </c>
      <c r="T30" s="241">
        <v>27.999999999999929</v>
      </c>
      <c r="U30" s="241">
        <v>27.000000000000092</v>
      </c>
      <c r="V30" s="241">
        <v>0</v>
      </c>
      <c r="W30" s="241">
        <v>243.68600000000001</v>
      </c>
      <c r="X30" s="241"/>
      <c r="Y30" s="241"/>
      <c r="Z30" s="241">
        <v>98717.399340000004</v>
      </c>
      <c r="AA30" s="241"/>
      <c r="AB30" s="794">
        <v>65509.910000000047</v>
      </c>
      <c r="AC30" s="794"/>
      <c r="AD30" s="795">
        <v>164227.30934000004</v>
      </c>
      <c r="AE30" s="241">
        <v>0</v>
      </c>
      <c r="AF30" s="120">
        <v>0</v>
      </c>
      <c r="AG30" s="120">
        <v>0</v>
      </c>
      <c r="AH30" s="795">
        <v>0</v>
      </c>
      <c r="AI30" s="120">
        <v>3.0000000000000027</v>
      </c>
      <c r="AJ30" s="120">
        <v>0</v>
      </c>
      <c r="AK30" s="120">
        <v>2798.0400000000022</v>
      </c>
      <c r="AL30" s="120">
        <v>0</v>
      </c>
      <c r="AM30" s="795">
        <v>2798.0400000000022</v>
      </c>
      <c r="AN30" s="120">
        <v>9.9999999999999964</v>
      </c>
      <c r="AO30" s="120">
        <v>0</v>
      </c>
      <c r="AP30" s="795">
        <v>7619.9999999999973</v>
      </c>
      <c r="AQ30" s="795">
        <v>0</v>
      </c>
      <c r="AR30" s="795">
        <v>7619.9999999999973</v>
      </c>
      <c r="AS30" s="795">
        <v>100000</v>
      </c>
      <c r="AT30" s="120">
        <v>0</v>
      </c>
      <c r="AU30" s="120">
        <v>8811.92</v>
      </c>
      <c r="AV30" s="120">
        <v>0</v>
      </c>
      <c r="AW30" s="120">
        <v>797245.75319319195</v>
      </c>
      <c r="AY30" s="120">
        <v>21795.42945544736</v>
      </c>
      <c r="AZ30" s="120">
        <v>0</v>
      </c>
      <c r="BA30" s="120">
        <v>15332.816749432312</v>
      </c>
      <c r="BB30" s="120">
        <v>15332.82</v>
      </c>
      <c r="BC30" s="821">
        <v>834373.99939807178</v>
      </c>
      <c r="BD30" s="808">
        <v>-15332.816749432312</v>
      </c>
      <c r="BE30" s="808">
        <v>0</v>
      </c>
      <c r="BG30" s="808">
        <v>4805.182001633244</v>
      </c>
      <c r="BM30" s="821">
        <v>0</v>
      </c>
      <c r="BN30" s="821"/>
      <c r="BP30" s="808">
        <v>823846.36465027265</v>
      </c>
      <c r="BQ30" s="808">
        <v>210</v>
      </c>
      <c r="BR30" s="814">
        <v>213</v>
      </c>
      <c r="BS30" s="814">
        <v>-3</v>
      </c>
      <c r="BT30" s="814">
        <v>833952.48401674104</v>
      </c>
      <c r="BU30" s="814">
        <v>-10106.119366468512</v>
      </c>
      <c r="BV30" s="814">
        <v>213</v>
      </c>
      <c r="BW30" s="814">
        <v>3368.7064554895042</v>
      </c>
      <c r="BY30" s="62">
        <v>55650</v>
      </c>
      <c r="BZ30" s="62">
        <v>65690.923736000012</v>
      </c>
      <c r="CA30" s="62">
        <v>1259.1180000000011</v>
      </c>
      <c r="CB30" s="62">
        <v>0</v>
      </c>
      <c r="CC30" s="62">
        <v>0</v>
      </c>
      <c r="CD30" s="62">
        <v>7619.9999999999973</v>
      </c>
      <c r="CE30" s="62">
        <v>130220.04173600001</v>
      </c>
      <c r="CF30" s="62">
        <v>14.468893526222224</v>
      </c>
      <c r="CH30" s="62">
        <v>117849.79461826824</v>
      </c>
      <c r="CI30" s="62">
        <v>13.094421624252027</v>
      </c>
      <c r="CJ30" s="62">
        <v>1.3744719019701979</v>
      </c>
      <c r="CK30" s="781"/>
      <c r="CL30" s="781"/>
      <c r="CM30" s="781"/>
      <c r="CN30" s="62">
        <v>688433.83319319203</v>
      </c>
      <c r="CV30" s="62">
        <v>513788.48385319189</v>
      </c>
      <c r="CW30" s="62">
        <v>0</v>
      </c>
      <c r="CX30" s="62">
        <v>0</v>
      </c>
      <c r="CZ30" s="62">
        <v>6356.7500000000055</v>
      </c>
      <c r="DA30" s="62">
        <v>11090.909999999985</v>
      </c>
      <c r="DB30" s="62">
        <v>3656.5200000000032</v>
      </c>
      <c r="DC30" s="62">
        <v>15162.83999999996</v>
      </c>
      <c r="DD30" s="62">
        <v>29242.890000000098</v>
      </c>
      <c r="DE30" s="62">
        <v>0</v>
      </c>
      <c r="DN30" s="62">
        <v>15332.816749432312</v>
      </c>
      <c r="DO30" s="62">
        <v>0</v>
      </c>
      <c r="DP30" s="62">
        <v>0</v>
      </c>
      <c r="DR30" s="62">
        <v>513788.48385319189</v>
      </c>
      <c r="DS30" s="62">
        <v>0</v>
      </c>
      <c r="DT30" s="62">
        <v>0</v>
      </c>
      <c r="DV30" s="62">
        <v>529121.30060262419</v>
      </c>
      <c r="DW30" s="62">
        <v>0</v>
      </c>
      <c r="DX30" s="62">
        <v>0</v>
      </c>
      <c r="DZ30" s="62">
        <v>21795.42945544736</v>
      </c>
      <c r="EB30" s="62">
        <v>819041.17939807172</v>
      </c>
      <c r="EC30" s="62">
        <v>210</v>
      </c>
      <c r="ED30" s="62">
        <v>3900.1960923717702</v>
      </c>
      <c r="EE30" s="62">
        <v>832951.48401674104</v>
      </c>
      <c r="EF30" s="62">
        <v>211</v>
      </c>
      <c r="EG30" s="62">
        <v>3947.6373650082514</v>
      </c>
      <c r="EI30" s="62">
        <v>-47.441272636481244</v>
      </c>
      <c r="EJ30" s="62">
        <v>-13910.304618669325</v>
      </c>
      <c r="EK30" s="62" t="s">
        <v>616</v>
      </c>
      <c r="EL30" s="789">
        <v>-1.6700017810868981E-2</v>
      </c>
      <c r="EO30" s="62">
        <v>15332.816749432312</v>
      </c>
      <c r="ER30" s="62">
        <v>513788.48385319189</v>
      </c>
      <c r="ET30" s="62">
        <v>-73.013413092534819</v>
      </c>
      <c r="EX30" s="62">
        <v>819041.18264863931</v>
      </c>
      <c r="EY30" s="62">
        <v>810229.26264863927</v>
      </c>
      <c r="FA30" s="62">
        <v>825562.07939807163</v>
      </c>
    </row>
    <row r="31" spans="1:157" x14ac:dyDescent="0.2">
      <c r="A31" s="241" t="s">
        <v>18</v>
      </c>
      <c r="B31" s="793">
        <v>2512</v>
      </c>
      <c r="C31" s="241">
        <v>203</v>
      </c>
      <c r="D31" s="241">
        <v>0</v>
      </c>
      <c r="E31" s="241">
        <v>0</v>
      </c>
      <c r="F31" s="241">
        <v>203</v>
      </c>
      <c r="G31" s="241">
        <v>0</v>
      </c>
      <c r="H31" s="241">
        <v>0</v>
      </c>
      <c r="I31" s="241">
        <v>0</v>
      </c>
      <c r="J31" s="241">
        <v>203</v>
      </c>
      <c r="K31" s="241">
        <v>0</v>
      </c>
      <c r="L31" s="241">
        <v>0</v>
      </c>
      <c r="M31" s="241">
        <v>203</v>
      </c>
      <c r="N31" s="62">
        <v>496662.20105808554</v>
      </c>
      <c r="O31" s="241"/>
      <c r="P31" s="241">
        <v>30.551499999999997</v>
      </c>
      <c r="Q31" s="241">
        <v>50.999999999999986</v>
      </c>
      <c r="R31" s="241">
        <v>1.0000000000000007</v>
      </c>
      <c r="S31" s="241">
        <v>7.0000000000000098</v>
      </c>
      <c r="T31" s="241">
        <v>1.0000000000000007</v>
      </c>
      <c r="U31" s="241">
        <v>0</v>
      </c>
      <c r="V31" s="241">
        <v>1.0000000000000007</v>
      </c>
      <c r="W31" s="241">
        <v>91.55149999999999</v>
      </c>
      <c r="X31" s="241"/>
      <c r="Y31" s="241"/>
      <c r="Z31" s="241">
        <v>32894.494534999998</v>
      </c>
      <c r="AA31" s="241"/>
      <c r="AB31" s="794">
        <v>11636.820000000003</v>
      </c>
      <c r="AC31" s="794"/>
      <c r="AD31" s="795">
        <v>44531.314534999998</v>
      </c>
      <c r="AE31" s="241">
        <v>0</v>
      </c>
      <c r="AF31" s="120">
        <v>0</v>
      </c>
      <c r="AG31" s="120">
        <v>0</v>
      </c>
      <c r="AH31" s="795">
        <v>0</v>
      </c>
      <c r="AI31" s="120">
        <v>25.815028901734006</v>
      </c>
      <c r="AJ31" s="120">
        <v>0</v>
      </c>
      <c r="AK31" s="120">
        <v>24077.161156069273</v>
      </c>
      <c r="AL31" s="120">
        <v>0</v>
      </c>
      <c r="AM31" s="795">
        <v>24077.161156069273</v>
      </c>
      <c r="AN31" s="120">
        <v>19.000000000000004</v>
      </c>
      <c r="AO31" s="120">
        <v>0</v>
      </c>
      <c r="AP31" s="795">
        <v>14478.000000000002</v>
      </c>
      <c r="AQ31" s="795">
        <v>0</v>
      </c>
      <c r="AR31" s="795">
        <v>14478.000000000002</v>
      </c>
      <c r="AS31" s="795">
        <v>100000</v>
      </c>
      <c r="AT31" s="120">
        <v>0</v>
      </c>
      <c r="AU31" s="120">
        <v>15004.08</v>
      </c>
      <c r="AV31" s="120">
        <v>0</v>
      </c>
      <c r="AW31" s="120">
        <v>694752.75674915477</v>
      </c>
      <c r="AY31" s="120">
        <v>11873.925260056276</v>
      </c>
      <c r="AZ31" s="120">
        <v>0</v>
      </c>
      <c r="BA31" s="120">
        <v>14821.722857784569</v>
      </c>
      <c r="BB31" s="120">
        <v>14821.72</v>
      </c>
      <c r="BC31" s="821">
        <v>721448.40486699564</v>
      </c>
      <c r="BD31" s="808">
        <v>-14821.722857784569</v>
      </c>
      <c r="BE31" s="808">
        <v>11151.3</v>
      </c>
      <c r="BG31" s="808">
        <v>10886.740472450321</v>
      </c>
      <c r="BH31" s="808">
        <v>9009.7162530623336</v>
      </c>
      <c r="BI31" s="808">
        <v>5381</v>
      </c>
      <c r="BM31" s="821">
        <v>47971.947200000002</v>
      </c>
      <c r="BN31" s="821"/>
      <c r="BP31" s="808">
        <v>791027.38593472377</v>
      </c>
      <c r="BQ31" s="808">
        <v>203</v>
      </c>
      <c r="BR31" s="814">
        <v>206</v>
      </c>
      <c r="BS31" s="814">
        <v>-3</v>
      </c>
      <c r="BT31" s="814">
        <v>779896.72540445731</v>
      </c>
      <c r="BU31" s="814">
        <v>11130.660530266468</v>
      </c>
      <c r="BV31" s="814">
        <v>206</v>
      </c>
      <c r="BW31" s="814">
        <v>-3710.2201767554893</v>
      </c>
      <c r="BY31" s="62">
        <v>53795</v>
      </c>
      <c r="BZ31" s="62">
        <v>17812.525814000001</v>
      </c>
      <c r="CA31" s="62">
        <v>10834.722520231173</v>
      </c>
      <c r="CB31" s="62">
        <v>0</v>
      </c>
      <c r="CC31" s="62">
        <v>0</v>
      </c>
      <c r="CD31" s="62">
        <v>14478.000000000002</v>
      </c>
      <c r="CE31" s="62">
        <v>96920.248334231161</v>
      </c>
      <c r="CF31" s="62">
        <v>10.76891648158124</v>
      </c>
      <c r="CH31" s="62">
        <v>60385.928228449848</v>
      </c>
      <c r="CI31" s="62">
        <v>6.7095475809388718</v>
      </c>
      <c r="CJ31" s="62">
        <v>4.0593689006423679</v>
      </c>
      <c r="CK31" s="781"/>
      <c r="CL31" s="781"/>
      <c r="CM31" s="781"/>
      <c r="CN31" s="62">
        <v>579748.67674915481</v>
      </c>
      <c r="CV31" s="62">
        <v>496662.20105808554</v>
      </c>
      <c r="CW31" s="62">
        <v>0</v>
      </c>
      <c r="CX31" s="62">
        <v>0</v>
      </c>
      <c r="CZ31" s="62">
        <v>6897.7499999999982</v>
      </c>
      <c r="DA31" s="62">
        <v>270.51000000000016</v>
      </c>
      <c r="DB31" s="62">
        <v>2843.9600000000037</v>
      </c>
      <c r="DC31" s="62">
        <v>541.53000000000031</v>
      </c>
      <c r="DD31" s="62">
        <v>0</v>
      </c>
      <c r="DE31" s="62">
        <v>1083.0700000000006</v>
      </c>
      <c r="DN31" s="62">
        <v>14821.722857784569</v>
      </c>
      <c r="DO31" s="62">
        <v>0</v>
      </c>
      <c r="DP31" s="62">
        <v>0</v>
      </c>
      <c r="DR31" s="62">
        <v>496662.20105808554</v>
      </c>
      <c r="DS31" s="62">
        <v>0</v>
      </c>
      <c r="DT31" s="62">
        <v>0</v>
      </c>
      <c r="DV31" s="62">
        <v>511483.92391587014</v>
      </c>
      <c r="DW31" s="62">
        <v>0</v>
      </c>
      <c r="DX31" s="62">
        <v>0</v>
      </c>
      <c r="DZ31" s="62">
        <v>11873.925260056276</v>
      </c>
      <c r="EB31" s="62">
        <v>706626.68486699567</v>
      </c>
      <c r="EC31" s="62">
        <v>203</v>
      </c>
      <c r="ED31" s="62">
        <v>3480.9196298866782</v>
      </c>
      <c r="EE31" s="62">
        <v>706049.36700502003</v>
      </c>
      <c r="EF31" s="62">
        <v>203</v>
      </c>
      <c r="EG31" s="62">
        <v>3478.0756995321185</v>
      </c>
      <c r="EI31" s="62">
        <v>2.8439303545596886</v>
      </c>
      <c r="EJ31" s="62">
        <v>577.31786197563633</v>
      </c>
      <c r="EK31" s="62" t="s">
        <v>681</v>
      </c>
      <c r="EL31" s="789">
        <v>8.1767350691716091E-4</v>
      </c>
      <c r="EO31" s="62">
        <v>14821.722857784569</v>
      </c>
      <c r="ER31" s="62">
        <v>496662.20105808554</v>
      </c>
      <c r="ET31" s="62">
        <v>-73.013413092534819</v>
      </c>
      <c r="EX31" s="62">
        <v>706626.68200921104</v>
      </c>
      <c r="EY31" s="62">
        <v>691622.60200921108</v>
      </c>
      <c r="FA31" s="62">
        <v>706444.32486699568</v>
      </c>
    </row>
    <row r="32" spans="1:157" x14ac:dyDescent="0.2">
      <c r="A32" s="241" t="s">
        <v>19</v>
      </c>
      <c r="B32" s="793">
        <v>2456</v>
      </c>
      <c r="C32" s="241">
        <v>178</v>
      </c>
      <c r="D32" s="241">
        <v>0</v>
      </c>
      <c r="E32" s="241">
        <v>0</v>
      </c>
      <c r="F32" s="241">
        <v>178</v>
      </c>
      <c r="G32" s="241">
        <v>0</v>
      </c>
      <c r="H32" s="241">
        <v>0</v>
      </c>
      <c r="I32" s="241">
        <v>0</v>
      </c>
      <c r="J32" s="241">
        <v>178</v>
      </c>
      <c r="K32" s="241">
        <v>0</v>
      </c>
      <c r="L32" s="241">
        <v>0</v>
      </c>
      <c r="M32" s="241">
        <v>178</v>
      </c>
      <c r="N32" s="62">
        <v>435496.90536127693</v>
      </c>
      <c r="O32" s="241"/>
      <c r="P32" s="241">
        <v>14.916400000000003</v>
      </c>
      <c r="Q32" s="241">
        <v>8.0451977401130037</v>
      </c>
      <c r="R32" s="241">
        <v>3.0169491525423759</v>
      </c>
      <c r="S32" s="241">
        <v>9.0508474576271105</v>
      </c>
      <c r="T32" s="241">
        <v>1.0056497175141237</v>
      </c>
      <c r="U32" s="241">
        <v>0</v>
      </c>
      <c r="V32" s="241">
        <v>1.0056497175141237</v>
      </c>
      <c r="W32" s="241">
        <v>37.040693785310744</v>
      </c>
      <c r="X32" s="241"/>
      <c r="Y32" s="241"/>
      <c r="Z32" s="241">
        <v>16060.338716000004</v>
      </c>
      <c r="AA32" s="241"/>
      <c r="AB32" s="794">
        <v>7215.1847457627082</v>
      </c>
      <c r="AC32" s="794"/>
      <c r="AD32" s="795">
        <v>23275.523461762714</v>
      </c>
      <c r="AE32" s="241">
        <v>0.99441340782122911</v>
      </c>
      <c r="AF32" s="120">
        <v>1647.7430167597765</v>
      </c>
      <c r="AG32" s="120">
        <v>0</v>
      </c>
      <c r="AH32" s="795">
        <v>0</v>
      </c>
      <c r="AI32" s="120">
        <v>42.237288135593161</v>
      </c>
      <c r="AJ32" s="120">
        <v>0</v>
      </c>
      <c r="AK32" s="120">
        <v>39393.873898305028</v>
      </c>
      <c r="AL32" s="120">
        <v>0</v>
      </c>
      <c r="AM32" s="795">
        <v>39393.873898305028</v>
      </c>
      <c r="AN32" s="120">
        <v>6.9999999999999973</v>
      </c>
      <c r="AO32" s="120">
        <v>0</v>
      </c>
      <c r="AP32" s="795">
        <v>5333.9999999999982</v>
      </c>
      <c r="AQ32" s="795">
        <v>0</v>
      </c>
      <c r="AR32" s="795">
        <v>5333.9999999999982</v>
      </c>
      <c r="AS32" s="795">
        <v>100000</v>
      </c>
      <c r="AT32" s="120">
        <v>0</v>
      </c>
      <c r="AU32" s="120">
        <v>8931</v>
      </c>
      <c r="AV32" s="120">
        <v>0</v>
      </c>
      <c r="AW32" s="120">
        <v>614079.0457381045</v>
      </c>
      <c r="AY32" s="120">
        <v>0</v>
      </c>
      <c r="AZ32" s="120">
        <v>0</v>
      </c>
      <c r="BA32" s="120">
        <v>12996.387530471198</v>
      </c>
      <c r="BB32" s="120">
        <v>12996.39</v>
      </c>
      <c r="BC32" s="821">
        <v>627075.43326857558</v>
      </c>
      <c r="BD32" s="808">
        <v>-12996.387530471198</v>
      </c>
      <c r="BE32" s="808">
        <v>22302.6</v>
      </c>
      <c r="BG32" s="808">
        <v>3003.2387510207782</v>
      </c>
      <c r="BI32" s="808">
        <v>4880</v>
      </c>
      <c r="BM32" s="821">
        <v>90913.126000000004</v>
      </c>
      <c r="BN32" s="821"/>
      <c r="BP32" s="808">
        <v>735178.01048912515</v>
      </c>
      <c r="BQ32" s="808">
        <v>178</v>
      </c>
      <c r="BR32" s="814">
        <v>179</v>
      </c>
      <c r="BS32" s="827">
        <v>-1</v>
      </c>
      <c r="BT32" s="814">
        <v>746018.52786890382</v>
      </c>
      <c r="BU32" s="827">
        <v>-10840.517379778554</v>
      </c>
      <c r="BV32" s="814">
        <v>179</v>
      </c>
      <c r="BW32" s="814">
        <v>10840.517379778554</v>
      </c>
      <c r="BY32" s="62">
        <v>47170</v>
      </c>
      <c r="BZ32" s="62">
        <v>9310.2093847050855</v>
      </c>
      <c r="CA32" s="62">
        <v>17727.243254237263</v>
      </c>
      <c r="CB32" s="62">
        <v>1647.7430167597765</v>
      </c>
      <c r="CC32" s="62">
        <v>0</v>
      </c>
      <c r="CD32" s="62">
        <v>5333.9999999999982</v>
      </c>
      <c r="CE32" s="62">
        <v>81189.195655702119</v>
      </c>
      <c r="CF32" s="62">
        <v>9.0210217395224568</v>
      </c>
      <c r="CH32" s="62">
        <v>47181.454137114131</v>
      </c>
      <c r="CI32" s="62">
        <v>5.2423837930126815</v>
      </c>
      <c r="CJ32" s="62">
        <v>3.7786379465097752</v>
      </c>
      <c r="CK32" s="781"/>
      <c r="CL32" s="781"/>
      <c r="CM32" s="781"/>
      <c r="CN32" s="62">
        <v>505148.04573810438</v>
      </c>
      <c r="CV32" s="62">
        <v>435496.90536127693</v>
      </c>
      <c r="CW32" s="62">
        <v>0</v>
      </c>
      <c r="CX32" s="62">
        <v>0</v>
      </c>
      <c r="CZ32" s="62">
        <v>1088.1129943502838</v>
      </c>
      <c r="DA32" s="62">
        <v>816.1149152542381</v>
      </c>
      <c r="DB32" s="62">
        <v>3677.1783050847421</v>
      </c>
      <c r="DC32" s="62">
        <v>544.58949152542334</v>
      </c>
      <c r="DD32" s="62">
        <v>0</v>
      </c>
      <c r="DE32" s="62">
        <v>1089.1890395480218</v>
      </c>
      <c r="DN32" s="62">
        <v>12996.387530471198</v>
      </c>
      <c r="DO32" s="62">
        <v>0</v>
      </c>
      <c r="DP32" s="62">
        <v>0</v>
      </c>
      <c r="DR32" s="62">
        <v>435496.90536127693</v>
      </c>
      <c r="DS32" s="62">
        <v>0</v>
      </c>
      <c r="DT32" s="62">
        <v>0</v>
      </c>
      <c r="DV32" s="62">
        <v>448493.29289174813</v>
      </c>
      <c r="DW32" s="62">
        <v>0</v>
      </c>
      <c r="DX32" s="62">
        <v>0</v>
      </c>
      <c r="DZ32" s="62">
        <v>0</v>
      </c>
      <c r="EB32" s="62">
        <v>614079.04326857568</v>
      </c>
      <c r="EC32" s="62">
        <v>178</v>
      </c>
      <c r="ED32" s="62">
        <v>3449.8822655537961</v>
      </c>
      <c r="EE32" s="62">
        <v>615322.90577968233</v>
      </c>
      <c r="EF32" s="62">
        <v>176</v>
      </c>
      <c r="EG32" s="62">
        <v>3496.1528737481949</v>
      </c>
      <c r="EI32" s="62">
        <v>-46.270608194398847</v>
      </c>
      <c r="EJ32" s="62">
        <v>-1243.8625111066503</v>
      </c>
      <c r="EK32" s="62" t="s">
        <v>616</v>
      </c>
      <c r="EL32" s="789">
        <v>-2.0214792906669689E-3</v>
      </c>
      <c r="EO32" s="62">
        <v>12996.387530471198</v>
      </c>
      <c r="ER32" s="62">
        <v>435496.90536127693</v>
      </c>
      <c r="ET32" s="62">
        <v>-73.013413092534819</v>
      </c>
      <c r="EX32" s="62">
        <v>614079.0457381045</v>
      </c>
      <c r="EY32" s="62">
        <v>605148.0457381045</v>
      </c>
      <c r="FA32" s="62">
        <v>618144.4332685757</v>
      </c>
    </row>
    <row r="33" spans="1:157" x14ac:dyDescent="0.2">
      <c r="A33" s="241" t="s">
        <v>20</v>
      </c>
      <c r="B33" s="793">
        <v>2449</v>
      </c>
      <c r="C33" s="241">
        <v>259</v>
      </c>
      <c r="D33" s="241">
        <v>0</v>
      </c>
      <c r="E33" s="241">
        <v>0</v>
      </c>
      <c r="F33" s="241">
        <v>259</v>
      </c>
      <c r="G33" s="241">
        <v>0</v>
      </c>
      <c r="H33" s="241">
        <v>0</v>
      </c>
      <c r="I33" s="241">
        <v>0</v>
      </c>
      <c r="J33" s="241">
        <v>259</v>
      </c>
      <c r="K33" s="241">
        <v>0</v>
      </c>
      <c r="L33" s="241">
        <v>0</v>
      </c>
      <c r="M33" s="241">
        <v>259</v>
      </c>
      <c r="N33" s="62">
        <v>633672.46341893671</v>
      </c>
      <c r="O33" s="241"/>
      <c r="P33" s="241">
        <v>67.728499999999997</v>
      </c>
      <c r="Q33" s="241">
        <v>32.999999999999893</v>
      </c>
      <c r="R33" s="241">
        <v>6.0000000000000089</v>
      </c>
      <c r="S33" s="241">
        <v>39.000000000000107</v>
      </c>
      <c r="T33" s="241">
        <v>34.999999999999964</v>
      </c>
      <c r="U33" s="241">
        <v>14.999999999999996</v>
      </c>
      <c r="V33" s="241">
        <v>0.99999999999999967</v>
      </c>
      <c r="W33" s="241">
        <v>196.72849999999997</v>
      </c>
      <c r="X33" s="241"/>
      <c r="Y33" s="241"/>
      <c r="Z33" s="241">
        <v>72922.598664999998</v>
      </c>
      <c r="AA33" s="241"/>
      <c r="AB33" s="794">
        <v>58213.900000000009</v>
      </c>
      <c r="AC33" s="794"/>
      <c r="AD33" s="795">
        <v>131136.49866500002</v>
      </c>
      <c r="AE33" s="241">
        <v>0</v>
      </c>
      <c r="AF33" s="120">
        <v>0</v>
      </c>
      <c r="AG33" s="120">
        <v>0</v>
      </c>
      <c r="AH33" s="795">
        <v>0</v>
      </c>
      <c r="AI33" s="120">
        <v>13.792899408284027</v>
      </c>
      <c r="AJ33" s="120">
        <v>0</v>
      </c>
      <c r="AK33" s="120">
        <v>12864.361420118346</v>
      </c>
      <c r="AL33" s="120">
        <v>0</v>
      </c>
      <c r="AM33" s="795">
        <v>12864.361420118346</v>
      </c>
      <c r="AN33" s="120">
        <v>6.9999999999999929</v>
      </c>
      <c r="AO33" s="120">
        <v>0</v>
      </c>
      <c r="AP33" s="795">
        <v>5333.9999999999945</v>
      </c>
      <c r="AQ33" s="795">
        <v>0</v>
      </c>
      <c r="AR33" s="795">
        <v>5333.9999999999945</v>
      </c>
      <c r="AS33" s="795">
        <v>100000</v>
      </c>
      <c r="AT33" s="120">
        <v>0</v>
      </c>
      <c r="AU33" s="120">
        <v>11550.76</v>
      </c>
      <c r="AV33" s="120">
        <v>0</v>
      </c>
      <c r="AW33" s="120">
        <v>894558.08350405504</v>
      </c>
      <c r="AY33" s="120">
        <v>14269.51572836272</v>
      </c>
      <c r="AZ33" s="120">
        <v>0</v>
      </c>
      <c r="BA33" s="120">
        <v>18910.473990966519</v>
      </c>
      <c r="BB33" s="120">
        <v>18910.47</v>
      </c>
      <c r="BC33" s="821">
        <v>927738.07322338433</v>
      </c>
      <c r="BD33" s="808">
        <v>-18910.473990966519</v>
      </c>
      <c r="BE33" s="808">
        <v>33453.899999999994</v>
      </c>
      <c r="BG33" s="808">
        <v>0</v>
      </c>
      <c r="BM33" s="821">
        <v>164085.81679999997</v>
      </c>
      <c r="BN33" s="821"/>
      <c r="BP33" s="808">
        <v>1106367.3160324178</v>
      </c>
      <c r="BQ33" s="808">
        <v>259</v>
      </c>
      <c r="BR33" s="814">
        <v>260</v>
      </c>
      <c r="BS33" s="827">
        <v>-1</v>
      </c>
      <c r="BT33" s="814">
        <v>1115536.384169484</v>
      </c>
      <c r="BU33" s="827">
        <v>-9169.068137066206</v>
      </c>
      <c r="BV33" s="814">
        <v>260</v>
      </c>
      <c r="BW33" s="814">
        <v>9169.068137066206</v>
      </c>
      <c r="BY33" s="62">
        <v>68635</v>
      </c>
      <c r="BZ33" s="62">
        <v>52454.599466000014</v>
      </c>
      <c r="CA33" s="62">
        <v>5788.9626390532558</v>
      </c>
      <c r="CB33" s="62">
        <v>0</v>
      </c>
      <c r="CC33" s="62">
        <v>0</v>
      </c>
      <c r="CD33" s="62">
        <v>5333.9999999999945</v>
      </c>
      <c r="CE33" s="62">
        <v>132212.56210505325</v>
      </c>
      <c r="CF33" s="62">
        <v>14.69028467833925</v>
      </c>
      <c r="CH33" s="62">
        <v>111089.27852507187</v>
      </c>
      <c r="CI33" s="62">
        <v>12.34325316945243</v>
      </c>
      <c r="CJ33" s="62">
        <v>2.3470315088868201</v>
      </c>
      <c r="CK33" s="781"/>
      <c r="CL33" s="781"/>
      <c r="CM33" s="781"/>
      <c r="CN33" s="62">
        <v>783007.32350405504</v>
      </c>
      <c r="CV33" s="62">
        <v>633672.46341893671</v>
      </c>
      <c r="CW33" s="62">
        <v>0</v>
      </c>
      <c r="CX33" s="62">
        <v>0</v>
      </c>
      <c r="CZ33" s="62">
        <v>4463.2499999999854</v>
      </c>
      <c r="DA33" s="62">
        <v>1623.0600000000024</v>
      </c>
      <c r="DB33" s="62">
        <v>15844.920000000042</v>
      </c>
      <c r="DC33" s="62">
        <v>18953.549999999981</v>
      </c>
      <c r="DD33" s="62">
        <v>16246.049999999996</v>
      </c>
      <c r="DE33" s="62">
        <v>1083.0699999999995</v>
      </c>
      <c r="DN33" s="62">
        <v>18910.473990966519</v>
      </c>
      <c r="DO33" s="62">
        <v>0</v>
      </c>
      <c r="DP33" s="62">
        <v>0</v>
      </c>
      <c r="DR33" s="62">
        <v>633672.46341893671</v>
      </c>
      <c r="DS33" s="62">
        <v>0</v>
      </c>
      <c r="DT33" s="62">
        <v>0</v>
      </c>
      <c r="DV33" s="62">
        <v>652582.93740990327</v>
      </c>
      <c r="DW33" s="62">
        <v>0</v>
      </c>
      <c r="DX33" s="62">
        <v>0</v>
      </c>
      <c r="DZ33" s="62">
        <v>14269.51572836272</v>
      </c>
      <c r="EB33" s="62">
        <v>908827.60322338436</v>
      </c>
      <c r="EC33" s="62">
        <v>259</v>
      </c>
      <c r="ED33" s="62">
        <v>3508.9868850323719</v>
      </c>
      <c r="EE33" s="62">
        <v>920524.61089585547</v>
      </c>
      <c r="EF33" s="62">
        <v>259</v>
      </c>
      <c r="EG33" s="62">
        <v>3554.1490768179747</v>
      </c>
      <c r="EI33" s="62">
        <v>-45.162191785602772</v>
      </c>
      <c r="EJ33" s="62">
        <v>-11697.007672471111</v>
      </c>
      <c r="EK33" s="62" t="s">
        <v>616</v>
      </c>
      <c r="EL33" s="789">
        <v>-1.2706892932593699E-2</v>
      </c>
      <c r="EO33" s="62">
        <v>18910.473990966519</v>
      </c>
      <c r="ER33" s="62">
        <v>633672.46341893671</v>
      </c>
      <c r="ET33" s="62">
        <v>-73.013413092534819</v>
      </c>
      <c r="EX33" s="62">
        <v>908827.59923241776</v>
      </c>
      <c r="EY33" s="62">
        <v>897276.83923241775</v>
      </c>
      <c r="FA33" s="62">
        <v>916187.31322338432</v>
      </c>
    </row>
    <row r="34" spans="1:157" x14ac:dyDescent="0.2">
      <c r="A34" s="241" t="s">
        <v>21</v>
      </c>
      <c r="B34" s="793">
        <v>2448</v>
      </c>
      <c r="C34" s="241">
        <v>316</v>
      </c>
      <c r="D34" s="241">
        <v>0</v>
      </c>
      <c r="E34" s="241">
        <v>0</v>
      </c>
      <c r="F34" s="241">
        <v>316</v>
      </c>
      <c r="G34" s="241">
        <v>0</v>
      </c>
      <c r="H34" s="241">
        <v>0</v>
      </c>
      <c r="I34" s="241">
        <v>0</v>
      </c>
      <c r="J34" s="241">
        <v>316</v>
      </c>
      <c r="K34" s="241">
        <v>0</v>
      </c>
      <c r="L34" s="241">
        <v>0</v>
      </c>
      <c r="M34" s="241">
        <v>316</v>
      </c>
      <c r="N34" s="62">
        <v>773129.33760766021</v>
      </c>
      <c r="O34" s="241"/>
      <c r="P34" s="241">
        <v>96.38</v>
      </c>
      <c r="Q34" s="241">
        <v>57.999999999999886</v>
      </c>
      <c r="R34" s="241">
        <v>10.000000000000012</v>
      </c>
      <c r="S34" s="241">
        <v>56.999999999999986</v>
      </c>
      <c r="T34" s="241">
        <v>31</v>
      </c>
      <c r="U34" s="241">
        <v>26.999999999999986</v>
      </c>
      <c r="V34" s="241">
        <v>0</v>
      </c>
      <c r="W34" s="241">
        <v>279.37999999999988</v>
      </c>
      <c r="X34" s="241"/>
      <c r="Y34" s="241"/>
      <c r="Z34" s="241">
        <v>103771.38220000001</v>
      </c>
      <c r="AA34" s="241"/>
      <c r="AB34" s="794">
        <v>79737.879999999961</v>
      </c>
      <c r="AC34" s="794"/>
      <c r="AD34" s="795">
        <v>183509.26219999997</v>
      </c>
      <c r="AE34" s="241">
        <v>0</v>
      </c>
      <c r="AF34" s="120">
        <v>0</v>
      </c>
      <c r="AG34" s="120">
        <v>0</v>
      </c>
      <c r="AH34" s="795">
        <v>0</v>
      </c>
      <c r="AI34" s="120">
        <v>3.0095238095238082</v>
      </c>
      <c r="AJ34" s="120">
        <v>0</v>
      </c>
      <c r="AK34" s="120">
        <v>2806.9226666666655</v>
      </c>
      <c r="AL34" s="120">
        <v>0</v>
      </c>
      <c r="AM34" s="795">
        <v>2806.9226666666655</v>
      </c>
      <c r="AN34" s="120">
        <v>10.000000000000012</v>
      </c>
      <c r="AO34" s="120">
        <v>0</v>
      </c>
      <c r="AP34" s="795">
        <v>7620.0000000000091</v>
      </c>
      <c r="AQ34" s="795">
        <v>0</v>
      </c>
      <c r="AR34" s="795">
        <v>7620.0000000000091</v>
      </c>
      <c r="AS34" s="795">
        <v>100000</v>
      </c>
      <c r="AT34" s="120">
        <v>0</v>
      </c>
      <c r="AU34" s="120">
        <v>17028.439999999999</v>
      </c>
      <c r="AV34" s="120">
        <v>0</v>
      </c>
      <c r="AW34" s="120">
        <v>1084093.9624743268</v>
      </c>
      <c r="AY34" s="120">
        <v>0</v>
      </c>
      <c r="AZ34" s="120">
        <v>-439.4874996455419</v>
      </c>
      <c r="BA34" s="120">
        <v>23072.238537241003</v>
      </c>
      <c r="BB34" s="120">
        <v>23072.240000000002</v>
      </c>
      <c r="BC34" s="821">
        <v>1106726.7135119224</v>
      </c>
      <c r="BD34" s="808">
        <v>-23072.238537241003</v>
      </c>
      <c r="BE34" s="808">
        <v>0</v>
      </c>
      <c r="BG34" s="808">
        <v>20522.131465308652</v>
      </c>
      <c r="BI34" s="808">
        <v>7508</v>
      </c>
      <c r="BM34" s="821">
        <v>0</v>
      </c>
      <c r="BN34" s="821"/>
      <c r="BP34" s="808">
        <v>1111684.60643999</v>
      </c>
      <c r="BQ34" s="808">
        <v>316</v>
      </c>
      <c r="BR34" s="814">
        <v>318</v>
      </c>
      <c r="BS34" s="814">
        <v>-2</v>
      </c>
      <c r="BT34" s="814">
        <v>1110320.9318747274</v>
      </c>
      <c r="BU34" s="814">
        <v>1363.6745652626269</v>
      </c>
      <c r="BV34" s="814">
        <v>318</v>
      </c>
      <c r="BW34" s="814">
        <v>-681.83728263131343</v>
      </c>
      <c r="BY34" s="62">
        <v>83740</v>
      </c>
      <c r="BZ34" s="62">
        <v>73403.70487999999</v>
      </c>
      <c r="CA34" s="62">
        <v>1263.1151999999995</v>
      </c>
      <c r="CB34" s="62">
        <v>0</v>
      </c>
      <c r="CC34" s="62">
        <v>0</v>
      </c>
      <c r="CD34" s="62">
        <v>7620.0000000000091</v>
      </c>
      <c r="CE34" s="62">
        <v>166026.82007999998</v>
      </c>
      <c r="CF34" s="62">
        <v>18.44742445333333</v>
      </c>
      <c r="CH34" s="62">
        <v>135970.49016548606</v>
      </c>
      <c r="CI34" s="62">
        <v>15.107832240609563</v>
      </c>
      <c r="CJ34" s="62">
        <v>3.3395922127237672</v>
      </c>
      <c r="CK34" s="781"/>
      <c r="CL34" s="781"/>
      <c r="CM34" s="781"/>
      <c r="CN34" s="62">
        <v>967065.52247432689</v>
      </c>
      <c r="CV34" s="62">
        <v>773129.33760766021</v>
      </c>
      <c r="CW34" s="62">
        <v>0</v>
      </c>
      <c r="CX34" s="62">
        <v>0</v>
      </c>
      <c r="CZ34" s="62">
        <v>7844.4999999999845</v>
      </c>
      <c r="DA34" s="62">
        <v>2705.1000000000031</v>
      </c>
      <c r="DB34" s="62">
        <v>23157.959999999992</v>
      </c>
      <c r="DC34" s="62">
        <v>16787.43</v>
      </c>
      <c r="DD34" s="62">
        <v>29242.889999999981</v>
      </c>
      <c r="DE34" s="62">
        <v>0</v>
      </c>
      <c r="DN34" s="62">
        <v>23072.238537241003</v>
      </c>
      <c r="DO34" s="62">
        <v>0</v>
      </c>
      <c r="DP34" s="62">
        <v>0</v>
      </c>
      <c r="DR34" s="62">
        <v>773129.33760766021</v>
      </c>
      <c r="DS34" s="62">
        <v>0</v>
      </c>
      <c r="DT34" s="62">
        <v>0</v>
      </c>
      <c r="DV34" s="62">
        <v>796201.57614490122</v>
      </c>
      <c r="DW34" s="62">
        <v>0</v>
      </c>
      <c r="DX34" s="62">
        <v>0</v>
      </c>
      <c r="DZ34" s="62">
        <v>-439.4874996455419</v>
      </c>
      <c r="EB34" s="62">
        <v>1083654.4735119224</v>
      </c>
      <c r="EC34" s="62">
        <v>316</v>
      </c>
      <c r="ED34" s="62">
        <v>3429.2863085820331</v>
      </c>
      <c r="EE34" s="62">
        <v>1092176.3644206435</v>
      </c>
      <c r="EF34" s="62">
        <v>319</v>
      </c>
      <c r="EG34" s="62">
        <v>3423.7503586854032</v>
      </c>
      <c r="EI34" s="62">
        <v>5.5359498966299725</v>
      </c>
      <c r="EJ34" s="62">
        <v>-8521.8909087211359</v>
      </c>
      <c r="EK34" s="62" t="s">
        <v>616</v>
      </c>
      <c r="EL34" s="789">
        <v>-7.8026692266332486E-3</v>
      </c>
      <c r="EO34" s="62">
        <v>23072.238537241003</v>
      </c>
      <c r="ER34" s="62">
        <v>773129.33760766021</v>
      </c>
      <c r="ET34" s="62">
        <v>-73.013413092534819</v>
      </c>
      <c r="EX34" s="62">
        <v>1083654.4749746814</v>
      </c>
      <c r="EY34" s="62">
        <v>1066626.0349746814</v>
      </c>
      <c r="FA34" s="62">
        <v>1089698.2735119225</v>
      </c>
    </row>
    <row r="35" spans="1:157" ht="48.75" customHeight="1" x14ac:dyDescent="0.2">
      <c r="A35" s="701" t="s">
        <v>1047</v>
      </c>
      <c r="B35" s="793">
        <v>2467</v>
      </c>
      <c r="C35" s="241">
        <v>349</v>
      </c>
      <c r="D35" s="241">
        <v>0</v>
      </c>
      <c r="E35" s="241">
        <v>0</v>
      </c>
      <c r="F35" s="241">
        <v>349</v>
      </c>
      <c r="G35" s="241">
        <v>0</v>
      </c>
      <c r="H35" s="241">
        <v>0</v>
      </c>
      <c r="I35" s="241">
        <v>0</v>
      </c>
      <c r="J35" s="241">
        <v>349</v>
      </c>
      <c r="K35" s="241">
        <v>0</v>
      </c>
      <c r="L35" s="241">
        <v>0</v>
      </c>
      <c r="M35" s="241">
        <v>349</v>
      </c>
      <c r="N35" s="62">
        <v>853867.52792744758</v>
      </c>
      <c r="O35" s="241"/>
      <c r="P35" s="241">
        <v>101.9246778761062</v>
      </c>
      <c r="Q35" s="241">
        <v>29.336231884057952</v>
      </c>
      <c r="R35" s="241">
        <v>31.359420289855066</v>
      </c>
      <c r="S35" s="241">
        <v>102.17101449275368</v>
      </c>
      <c r="T35" s="241">
        <v>6.0695652173913093</v>
      </c>
      <c r="U35" s="241">
        <v>22.255072463768119</v>
      </c>
      <c r="V35" s="241">
        <v>3.0347826086956511</v>
      </c>
      <c r="W35" s="241">
        <v>296.15076483262794</v>
      </c>
      <c r="X35" s="241"/>
      <c r="Y35" s="241"/>
      <c r="Z35" s="241">
        <v>109741.28142242478</v>
      </c>
      <c r="AA35" s="241"/>
      <c r="AB35" s="794">
        <v>84638.336898550755</v>
      </c>
      <c r="AC35" s="794"/>
      <c r="AD35" s="795">
        <v>194379.61832097554</v>
      </c>
      <c r="AE35" s="241">
        <v>1.0294985250737463</v>
      </c>
      <c r="AF35" s="120">
        <v>1705.8790560471975</v>
      </c>
      <c r="AG35" s="120">
        <v>0</v>
      </c>
      <c r="AH35" s="795">
        <v>0</v>
      </c>
      <c r="AI35" s="120">
        <v>4.8304498269896232</v>
      </c>
      <c r="AJ35" s="120">
        <v>0</v>
      </c>
      <c r="AK35" s="120">
        <v>4505.2639446366811</v>
      </c>
      <c r="AL35" s="120">
        <v>0</v>
      </c>
      <c r="AM35" s="795">
        <v>4505.2639446366811</v>
      </c>
      <c r="AN35" s="120">
        <v>8.0000000000000124</v>
      </c>
      <c r="AO35" s="120">
        <v>0</v>
      </c>
      <c r="AP35" s="795">
        <v>6096.0000000000091</v>
      </c>
      <c r="AQ35" s="795">
        <v>0</v>
      </c>
      <c r="AR35" s="795">
        <v>6096.0000000000091</v>
      </c>
      <c r="AS35" s="795">
        <v>100000</v>
      </c>
      <c r="AT35" s="120">
        <v>0</v>
      </c>
      <c r="AU35" s="120">
        <v>12741.56</v>
      </c>
      <c r="AV35" s="120">
        <v>0</v>
      </c>
      <c r="AW35" s="120">
        <v>1173295.8492491071</v>
      </c>
      <c r="AY35" s="120">
        <v>113762.38713260554</v>
      </c>
      <c r="AZ35" s="120">
        <v>0</v>
      </c>
      <c r="BA35" s="120">
        <v>25481.68116929465</v>
      </c>
      <c r="BB35" s="120">
        <v>25481.68</v>
      </c>
      <c r="BC35" s="821">
        <v>1312539.9175510076</v>
      </c>
      <c r="BD35" s="808">
        <v>-25481.68116929465</v>
      </c>
      <c r="BE35" s="808">
        <v>22302.6</v>
      </c>
      <c r="BG35" s="808">
        <v>9009.7162530623336</v>
      </c>
      <c r="BI35" s="808">
        <v>3504</v>
      </c>
      <c r="BM35" s="821">
        <v>103630.90479999999</v>
      </c>
      <c r="BN35" s="821"/>
      <c r="BP35" s="808">
        <v>1425505.4574347751</v>
      </c>
      <c r="BQ35" s="808">
        <v>349</v>
      </c>
      <c r="BR35" s="814">
        <v>339</v>
      </c>
      <c r="BS35" s="824">
        <v>10</v>
      </c>
      <c r="BT35" s="814">
        <v>1436309.1374055897</v>
      </c>
      <c r="BU35" s="824">
        <v>-10803.679970814846</v>
      </c>
      <c r="BV35" s="814">
        <v>339</v>
      </c>
      <c r="BW35" s="814">
        <v>-1080.3679970814846</v>
      </c>
      <c r="BY35" s="62">
        <v>92485</v>
      </c>
      <c r="BZ35" s="62">
        <v>77751.847328390213</v>
      </c>
      <c r="CA35" s="62">
        <v>2027.3687750865065</v>
      </c>
      <c r="CB35" s="62">
        <v>1705.8790560471975</v>
      </c>
      <c r="CC35" s="62">
        <v>0</v>
      </c>
      <c r="CD35" s="62">
        <v>6096.0000000000091</v>
      </c>
      <c r="CE35" s="62">
        <v>180066.09515952395</v>
      </c>
      <c r="CF35" s="62">
        <v>20.007343906613773</v>
      </c>
      <c r="CH35" s="701">
        <v>145451.50898755589</v>
      </c>
      <c r="CI35" s="62">
        <v>16.1612787763951</v>
      </c>
      <c r="CJ35" s="62">
        <v>3.8460651302186726</v>
      </c>
      <c r="CK35" s="796" t="s">
        <v>612</v>
      </c>
      <c r="CL35" s="781"/>
      <c r="CM35" s="781"/>
      <c r="CN35" s="62">
        <v>1060554.2892491072</v>
      </c>
      <c r="CV35" s="62">
        <v>853867.52792744758</v>
      </c>
      <c r="CW35" s="62">
        <v>0</v>
      </c>
      <c r="CX35" s="62">
        <v>0</v>
      </c>
      <c r="CZ35" s="62">
        <v>3967.7253623188381</v>
      </c>
      <c r="DA35" s="62">
        <v>8483.0367826086931</v>
      </c>
      <c r="DB35" s="62">
        <v>41510.039768115967</v>
      </c>
      <c r="DC35" s="62">
        <v>3286.8516521739157</v>
      </c>
      <c r="DD35" s="62">
        <v>24103.801333333337</v>
      </c>
      <c r="DE35" s="62">
        <v>3286.8819999999987</v>
      </c>
      <c r="DN35" s="62">
        <v>25481.68116929465</v>
      </c>
      <c r="DO35" s="62">
        <v>0</v>
      </c>
      <c r="DP35" s="62">
        <v>0</v>
      </c>
      <c r="DR35" s="62">
        <v>853867.52792744758</v>
      </c>
      <c r="DS35" s="62">
        <v>0</v>
      </c>
      <c r="DT35" s="62">
        <v>0</v>
      </c>
      <c r="DV35" s="62">
        <v>879349.20909674221</v>
      </c>
      <c r="DW35" s="62">
        <v>0</v>
      </c>
      <c r="DX35" s="62">
        <v>0</v>
      </c>
      <c r="DZ35" s="62">
        <v>113762.38713260554</v>
      </c>
      <c r="EB35" s="62">
        <v>1287058.2375510074</v>
      </c>
      <c r="EC35" s="62">
        <v>349</v>
      </c>
      <c r="ED35" s="62">
        <v>3687.845952868216</v>
      </c>
      <c r="EE35" s="62">
        <v>1044369.2378296424</v>
      </c>
      <c r="EF35" s="62">
        <v>341</v>
      </c>
      <c r="EG35" s="62">
        <v>3062.6663865971918</v>
      </c>
      <c r="EH35" s="701" t="s">
        <v>999</v>
      </c>
      <c r="EI35" s="62">
        <v>625.17956627102421</v>
      </c>
      <c r="EJ35" s="62">
        <v>242688.99972136505</v>
      </c>
      <c r="EK35" s="62" t="s">
        <v>681</v>
      </c>
      <c r="EL35" s="789">
        <v>0.23237854097053795</v>
      </c>
      <c r="EM35" s="701"/>
      <c r="EO35" s="62">
        <v>25481.68116929465</v>
      </c>
      <c r="ER35" s="62">
        <v>853867.52792744758</v>
      </c>
      <c r="ET35" s="62">
        <v>-73.013413092534819</v>
      </c>
      <c r="EX35" s="62">
        <v>1287058.2363817126</v>
      </c>
      <c r="EY35" s="62">
        <v>1274316.6763817125</v>
      </c>
      <c r="FA35" s="62">
        <v>1299798.3575510073</v>
      </c>
    </row>
    <row r="36" spans="1:157" x14ac:dyDescent="0.2">
      <c r="A36" s="241" t="s">
        <v>24</v>
      </c>
      <c r="B36" s="793">
        <v>2455</v>
      </c>
      <c r="C36" s="241">
        <v>360</v>
      </c>
      <c r="D36" s="241">
        <v>0</v>
      </c>
      <c r="E36" s="241">
        <v>0</v>
      </c>
      <c r="F36" s="241">
        <v>360</v>
      </c>
      <c r="G36" s="241">
        <v>0</v>
      </c>
      <c r="H36" s="241">
        <v>0</v>
      </c>
      <c r="I36" s="241">
        <v>0</v>
      </c>
      <c r="J36" s="241">
        <v>360</v>
      </c>
      <c r="K36" s="241">
        <v>0</v>
      </c>
      <c r="L36" s="241">
        <v>0</v>
      </c>
      <c r="M36" s="241">
        <v>360</v>
      </c>
      <c r="N36" s="62">
        <v>880780.25803404325</v>
      </c>
      <c r="O36" s="241"/>
      <c r="P36" s="241">
        <v>47.015999999999998</v>
      </c>
      <c r="Q36" s="241">
        <v>2.0055710306406671</v>
      </c>
      <c r="R36" s="241">
        <v>94.261838440111561</v>
      </c>
      <c r="S36" s="241">
        <v>1.0027855153203336</v>
      </c>
      <c r="T36" s="241">
        <v>7.0194986072423271</v>
      </c>
      <c r="U36" s="241">
        <v>4.01114206128132</v>
      </c>
      <c r="V36" s="241">
        <v>2.0055710306406671</v>
      </c>
      <c r="W36" s="241">
        <v>157.3224066852369</v>
      </c>
      <c r="X36" s="241"/>
      <c r="Y36" s="241"/>
      <c r="Z36" s="241">
        <v>50621.657039999998</v>
      </c>
      <c r="AA36" s="241"/>
      <c r="AB36" s="794">
        <v>36495.225626740954</v>
      </c>
      <c r="AC36" s="794"/>
      <c r="AD36" s="795">
        <v>87116.882666740945</v>
      </c>
      <c r="AE36" s="241">
        <v>0</v>
      </c>
      <c r="AF36" s="120">
        <v>0</v>
      </c>
      <c r="AG36" s="120">
        <v>0</v>
      </c>
      <c r="AH36" s="795">
        <v>0</v>
      </c>
      <c r="AI36" s="120">
        <v>22.5</v>
      </c>
      <c r="AJ36" s="120">
        <v>0</v>
      </c>
      <c r="AK36" s="120">
        <v>20985.3</v>
      </c>
      <c r="AL36" s="120">
        <v>0</v>
      </c>
      <c r="AM36" s="795">
        <v>20985.3</v>
      </c>
      <c r="AN36" s="120">
        <v>3.9999999999999956</v>
      </c>
      <c r="AO36" s="120">
        <v>0</v>
      </c>
      <c r="AP36" s="795">
        <v>3047.9999999999968</v>
      </c>
      <c r="AQ36" s="795">
        <v>0</v>
      </c>
      <c r="AR36" s="795">
        <v>3047.9999999999968</v>
      </c>
      <c r="AS36" s="795">
        <v>100000</v>
      </c>
      <c r="AT36" s="120">
        <v>0</v>
      </c>
      <c r="AU36" s="120">
        <v>24768.639999999999</v>
      </c>
      <c r="AV36" s="120">
        <v>0</v>
      </c>
      <c r="AW36" s="120">
        <v>1116699.0807007842</v>
      </c>
      <c r="AY36" s="120">
        <v>33027.066195058171</v>
      </c>
      <c r="AZ36" s="120">
        <v>0</v>
      </c>
      <c r="BA36" s="120">
        <v>26284.828713312534</v>
      </c>
      <c r="BB36" s="120">
        <v>26284.83</v>
      </c>
      <c r="BC36" s="821">
        <v>1176010.9756091549</v>
      </c>
      <c r="BD36" s="808">
        <v>-26284.828713312534</v>
      </c>
      <c r="BE36" s="808">
        <v>44605.2</v>
      </c>
      <c r="BG36" s="808">
        <v>2502.698959183982</v>
      </c>
      <c r="BI36" s="808">
        <v>11388</v>
      </c>
      <c r="BM36" s="821">
        <v>0</v>
      </c>
      <c r="BN36" s="821"/>
      <c r="BP36" s="808">
        <v>1208222.0458550262</v>
      </c>
      <c r="BQ36" s="808">
        <v>360</v>
      </c>
      <c r="BR36" s="814">
        <v>360</v>
      </c>
      <c r="BS36" s="824">
        <v>0</v>
      </c>
      <c r="BT36" s="814">
        <v>1222358.1723243415</v>
      </c>
      <c r="BU36" s="824">
        <v>-14136.126469315263</v>
      </c>
      <c r="BV36" s="814">
        <v>360</v>
      </c>
      <c r="BW36" s="814" t="e">
        <v>#DIV/0!</v>
      </c>
      <c r="BY36" s="62">
        <v>95400</v>
      </c>
      <c r="BZ36" s="62">
        <v>34846.753066696379</v>
      </c>
      <c r="CA36" s="62">
        <v>9443.3850000000002</v>
      </c>
      <c r="CB36" s="62">
        <v>0</v>
      </c>
      <c r="CC36" s="62">
        <v>0</v>
      </c>
      <c r="CD36" s="62">
        <v>3047.9999999999968</v>
      </c>
      <c r="CE36" s="62">
        <v>142738.13806669638</v>
      </c>
      <c r="CF36" s="62">
        <v>15.85979311852182</v>
      </c>
      <c r="CH36" s="62">
        <v>107209.27788628417</v>
      </c>
      <c r="CI36" s="62">
        <v>11.912141987364908</v>
      </c>
      <c r="CJ36" s="62">
        <v>3.9476511311569116</v>
      </c>
      <c r="CK36" s="781"/>
      <c r="CL36" s="781"/>
      <c r="CM36" s="781"/>
      <c r="CN36" s="62">
        <v>991930.44070078421</v>
      </c>
      <c r="CV36" s="62">
        <v>880780.25803404325</v>
      </c>
      <c r="CW36" s="62">
        <v>0</v>
      </c>
      <c r="CX36" s="62">
        <v>0</v>
      </c>
      <c r="CZ36" s="62">
        <v>271.25348189415024</v>
      </c>
      <c r="DA36" s="62">
        <v>25498.769916434576</v>
      </c>
      <c r="DB36" s="62">
        <v>407.41169916434507</v>
      </c>
      <c r="DC36" s="62">
        <v>3801.2690807799372</v>
      </c>
      <c r="DD36" s="62">
        <v>4344.3476323119594</v>
      </c>
      <c r="DE36" s="62">
        <v>2172.173816155987</v>
      </c>
      <c r="DN36" s="62">
        <v>26284.828713312534</v>
      </c>
      <c r="DO36" s="62">
        <v>0</v>
      </c>
      <c r="DP36" s="62">
        <v>0</v>
      </c>
      <c r="DR36" s="62">
        <v>880780.25803404325</v>
      </c>
      <c r="DS36" s="62">
        <v>0</v>
      </c>
      <c r="DT36" s="62">
        <v>0</v>
      </c>
      <c r="DV36" s="62">
        <v>907065.08674735576</v>
      </c>
      <c r="DW36" s="62">
        <v>0</v>
      </c>
      <c r="DX36" s="62">
        <v>0</v>
      </c>
      <c r="DZ36" s="62">
        <v>33027.066195058171</v>
      </c>
      <c r="EB36" s="62">
        <v>1149726.1456091548</v>
      </c>
      <c r="EC36" s="62">
        <v>360</v>
      </c>
      <c r="ED36" s="62">
        <v>3193.6837378032078</v>
      </c>
      <c r="EE36" s="62">
        <v>1158601.0746438568</v>
      </c>
      <c r="EF36" s="62">
        <v>358</v>
      </c>
      <c r="EG36" s="62">
        <v>3236.3158509604941</v>
      </c>
      <c r="EI36" s="62">
        <v>-42.632113157286312</v>
      </c>
      <c r="EJ36" s="62">
        <v>-8874.9290347020142</v>
      </c>
      <c r="EK36" s="62" t="s">
        <v>616</v>
      </c>
      <c r="EL36" s="789">
        <v>-7.660038669850263E-3</v>
      </c>
      <c r="EO36" s="62">
        <v>26284.828713312534</v>
      </c>
      <c r="ER36" s="62">
        <v>880780.25803404325</v>
      </c>
      <c r="ET36" s="62">
        <v>-73.013413092534819</v>
      </c>
      <c r="EX36" s="62">
        <v>1149726.1468958424</v>
      </c>
      <c r="EY36" s="62">
        <v>1124957.5068958425</v>
      </c>
      <c r="FA36" s="62">
        <v>1151242.335609155</v>
      </c>
    </row>
    <row r="37" spans="1:157" x14ac:dyDescent="0.2">
      <c r="A37" s="241" t="s">
        <v>25</v>
      </c>
      <c r="B37" s="793">
        <v>5203</v>
      </c>
      <c r="C37" s="241">
        <v>482</v>
      </c>
      <c r="D37" s="241">
        <v>0</v>
      </c>
      <c r="E37" s="241">
        <v>0</v>
      </c>
      <c r="F37" s="241">
        <v>482</v>
      </c>
      <c r="G37" s="241">
        <v>0</v>
      </c>
      <c r="H37" s="241">
        <v>0</v>
      </c>
      <c r="I37" s="241">
        <v>0</v>
      </c>
      <c r="J37" s="241">
        <v>482</v>
      </c>
      <c r="K37" s="241">
        <v>0</v>
      </c>
      <c r="L37" s="241">
        <v>0</v>
      </c>
      <c r="M37" s="241">
        <v>482</v>
      </c>
      <c r="N37" s="62">
        <v>1179266.901034469</v>
      </c>
      <c r="O37" s="241"/>
      <c r="P37" s="241">
        <v>86.181599999999989</v>
      </c>
      <c r="Q37" s="241">
        <v>3.0251046025104591</v>
      </c>
      <c r="R37" s="241">
        <v>105.87866108786601</v>
      </c>
      <c r="S37" s="241">
        <v>4.0334728033472782</v>
      </c>
      <c r="T37" s="241">
        <v>8.0669456066945759</v>
      </c>
      <c r="U37" s="241">
        <v>4.0334728033472782</v>
      </c>
      <c r="V37" s="241">
        <v>7.0585774058577178</v>
      </c>
      <c r="W37" s="241">
        <v>218.2778343096233</v>
      </c>
      <c r="X37" s="241"/>
      <c r="Y37" s="241"/>
      <c r="Z37" s="241">
        <v>92790.866903999995</v>
      </c>
      <c r="AA37" s="241"/>
      <c r="AB37" s="794">
        <v>47071.061213389075</v>
      </c>
      <c r="AC37" s="794"/>
      <c r="AD37" s="795">
        <v>139861.92811738906</v>
      </c>
      <c r="AE37" s="241">
        <v>0</v>
      </c>
      <c r="AF37" s="120">
        <v>0</v>
      </c>
      <c r="AG37" s="120">
        <v>0</v>
      </c>
      <c r="AH37" s="795">
        <v>0</v>
      </c>
      <c r="AI37" s="120">
        <v>7.0000000000000071</v>
      </c>
      <c r="AJ37" s="120">
        <v>0</v>
      </c>
      <c r="AK37" s="120">
        <v>6528.7600000000066</v>
      </c>
      <c r="AL37" s="120">
        <v>0</v>
      </c>
      <c r="AM37" s="795">
        <v>6528.7600000000066</v>
      </c>
      <c r="AN37" s="120">
        <v>16.000000000000018</v>
      </c>
      <c r="AO37" s="120">
        <v>0</v>
      </c>
      <c r="AP37" s="795">
        <v>12192.000000000013</v>
      </c>
      <c r="AQ37" s="795">
        <v>0</v>
      </c>
      <c r="AR37" s="795">
        <v>12192.000000000013</v>
      </c>
      <c r="AS37" s="795">
        <v>100000</v>
      </c>
      <c r="AT37" s="120">
        <v>0</v>
      </c>
      <c r="AU37" s="120">
        <v>4418.5439999999981</v>
      </c>
      <c r="AV37" s="120">
        <v>0</v>
      </c>
      <c r="AW37" s="120">
        <v>1442268.1331518581</v>
      </c>
      <c r="AY37" s="120">
        <v>49560.022722092457</v>
      </c>
      <c r="AZ37" s="120">
        <v>0</v>
      </c>
      <c r="BA37" s="120">
        <v>35192.465110601785</v>
      </c>
      <c r="BB37" s="120">
        <v>35192.47</v>
      </c>
      <c r="BC37" s="821">
        <v>1527020.6209845524</v>
      </c>
      <c r="BD37" s="808">
        <v>-35192.465110601785</v>
      </c>
      <c r="BE37" s="808">
        <v>0</v>
      </c>
      <c r="BG37" s="808">
        <v>23525.370216329426</v>
      </c>
      <c r="BI37" s="808">
        <v>17769</v>
      </c>
      <c r="BM37" s="821">
        <v>0</v>
      </c>
      <c r="BN37" s="821"/>
      <c r="BP37" s="808">
        <v>1533122.5260902799</v>
      </c>
      <c r="BQ37" s="808">
        <v>482</v>
      </c>
      <c r="BR37" s="814">
        <v>481</v>
      </c>
      <c r="BS37" s="814">
        <v>1</v>
      </c>
      <c r="BT37" s="814">
        <v>1530911.2032978216</v>
      </c>
      <c r="BU37" s="814">
        <v>2211.322792458348</v>
      </c>
      <c r="BV37" s="814">
        <v>481</v>
      </c>
      <c r="BW37" s="814">
        <v>2211.322792458348</v>
      </c>
      <c r="BY37" s="62">
        <v>127730</v>
      </c>
      <c r="BZ37" s="62">
        <v>55944.771246955628</v>
      </c>
      <c r="CA37" s="62">
        <v>2937.9420000000032</v>
      </c>
      <c r="CB37" s="62">
        <v>0</v>
      </c>
      <c r="CC37" s="62">
        <v>0</v>
      </c>
      <c r="CD37" s="62">
        <v>12192.000000000013</v>
      </c>
      <c r="CE37" s="62">
        <v>198804.71324695562</v>
      </c>
      <c r="CF37" s="62">
        <v>22.08941258299507</v>
      </c>
      <c r="CH37" s="62">
        <v>131120.5851469879</v>
      </c>
      <c r="CI37" s="62">
        <v>14.568953905220878</v>
      </c>
      <c r="CJ37" s="62">
        <v>7.520458677774192</v>
      </c>
      <c r="CK37" s="781"/>
      <c r="CL37" s="781"/>
      <c r="CM37" s="781"/>
      <c r="CN37" s="62">
        <v>1337849.5891518581</v>
      </c>
      <c r="CV37" s="62">
        <v>1179266.901034469</v>
      </c>
      <c r="CW37" s="62">
        <v>0</v>
      </c>
      <c r="CX37" s="62">
        <v>0</v>
      </c>
      <c r="CZ37" s="62">
        <v>409.14539748953962</v>
      </c>
      <c r="DA37" s="62">
        <v>28641.236610878634</v>
      </c>
      <c r="DB37" s="62">
        <v>1638.7193305439321</v>
      </c>
      <c r="DC37" s="62">
        <v>4368.4930543933133</v>
      </c>
      <c r="DD37" s="62">
        <v>4368.5333891213368</v>
      </c>
      <c r="DE37" s="62">
        <v>7644.9334309623182</v>
      </c>
      <c r="DN37" s="62">
        <v>35192.465110601785</v>
      </c>
      <c r="DO37" s="62">
        <v>0</v>
      </c>
      <c r="DP37" s="62">
        <v>0</v>
      </c>
      <c r="DR37" s="62">
        <v>1179266.901034469</v>
      </c>
      <c r="DS37" s="62">
        <v>0</v>
      </c>
      <c r="DT37" s="62">
        <v>0</v>
      </c>
      <c r="DV37" s="62">
        <v>1214459.3661450709</v>
      </c>
      <c r="DW37" s="62">
        <v>0</v>
      </c>
      <c r="DX37" s="62">
        <v>0</v>
      </c>
      <c r="DZ37" s="62">
        <v>49560.022722092457</v>
      </c>
      <c r="EB37" s="62">
        <v>1491828.1509845525</v>
      </c>
      <c r="EC37" s="62">
        <v>482</v>
      </c>
      <c r="ED37" s="62">
        <v>3095.0791514202333</v>
      </c>
      <c r="EE37" s="62">
        <v>1507135.722352921</v>
      </c>
      <c r="EF37" s="62">
        <v>480</v>
      </c>
      <c r="EG37" s="62">
        <v>3139.8660882352519</v>
      </c>
      <c r="EI37" s="62">
        <v>-44.786936815018635</v>
      </c>
      <c r="EJ37" s="62">
        <v>-15307.571368368575</v>
      </c>
      <c r="EK37" s="62" t="s">
        <v>616</v>
      </c>
      <c r="EL37" s="789">
        <v>-1.0156730506308078E-2</v>
      </c>
      <c r="EO37" s="62">
        <v>35192.465110601785</v>
      </c>
      <c r="ER37" s="62">
        <v>1179266.901034469</v>
      </c>
      <c r="ET37" s="62">
        <v>-73.013413092534819</v>
      </c>
      <c r="EX37" s="62">
        <v>1491828.1558739506</v>
      </c>
      <c r="EY37" s="62">
        <v>1487409.6118739506</v>
      </c>
      <c r="FA37" s="62">
        <v>1522602.0769845524</v>
      </c>
    </row>
    <row r="38" spans="1:157" x14ac:dyDescent="0.2">
      <c r="A38" s="241" t="s">
        <v>26</v>
      </c>
      <c r="B38" s="793">
        <v>2451</v>
      </c>
      <c r="C38" s="241">
        <v>450</v>
      </c>
      <c r="D38" s="241">
        <v>0</v>
      </c>
      <c r="E38" s="241">
        <v>0</v>
      </c>
      <c r="F38" s="241">
        <v>450</v>
      </c>
      <c r="G38" s="241">
        <v>0</v>
      </c>
      <c r="H38" s="241">
        <v>0</v>
      </c>
      <c r="I38" s="241">
        <v>0</v>
      </c>
      <c r="J38" s="241">
        <v>450</v>
      </c>
      <c r="K38" s="241">
        <v>0</v>
      </c>
      <c r="L38" s="241">
        <v>0</v>
      </c>
      <c r="M38" s="241">
        <v>450</v>
      </c>
      <c r="N38" s="62">
        <v>1100975.322542554</v>
      </c>
      <c r="O38" s="241"/>
      <c r="P38" s="241">
        <v>90.405000000000001</v>
      </c>
      <c r="Q38" s="241">
        <v>28.125</v>
      </c>
      <c r="R38" s="241">
        <v>122.54464285714305</v>
      </c>
      <c r="S38" s="241">
        <v>80.357142857143046</v>
      </c>
      <c r="T38" s="241">
        <v>4.0178571428571432</v>
      </c>
      <c r="U38" s="241">
        <v>8.035714285714306</v>
      </c>
      <c r="V38" s="241">
        <v>1.0044642857142869</v>
      </c>
      <c r="W38" s="241">
        <v>334.48982142857182</v>
      </c>
      <c r="X38" s="241"/>
      <c r="Y38" s="241"/>
      <c r="Z38" s="241">
        <v>97338.159450000006</v>
      </c>
      <c r="AA38" s="241"/>
      <c r="AB38" s="794">
        <v>81567.893973214435</v>
      </c>
      <c r="AC38" s="794"/>
      <c r="AD38" s="795">
        <v>178906.05342321444</v>
      </c>
      <c r="AE38" s="241">
        <v>0</v>
      </c>
      <c r="AF38" s="120">
        <v>0</v>
      </c>
      <c r="AG38" s="120">
        <v>0</v>
      </c>
      <c r="AH38" s="795">
        <v>0</v>
      </c>
      <c r="AI38" s="120">
        <v>4.7745358090185608</v>
      </c>
      <c r="AJ38" s="120">
        <v>0</v>
      </c>
      <c r="AK38" s="120">
        <v>4453.1140583554306</v>
      </c>
      <c r="AL38" s="120">
        <v>0</v>
      </c>
      <c r="AM38" s="795">
        <v>4453.1140583554306</v>
      </c>
      <c r="AN38" s="120">
        <v>23.999999999999986</v>
      </c>
      <c r="AO38" s="120">
        <v>0</v>
      </c>
      <c r="AP38" s="795">
        <v>18287.999999999989</v>
      </c>
      <c r="AQ38" s="795">
        <v>0</v>
      </c>
      <c r="AR38" s="795">
        <v>18287.999999999989</v>
      </c>
      <c r="AS38" s="795">
        <v>100000</v>
      </c>
      <c r="AT38" s="120">
        <v>0</v>
      </c>
      <c r="AU38" s="120">
        <v>22982.44</v>
      </c>
      <c r="AV38" s="120">
        <v>0</v>
      </c>
      <c r="AW38" s="120">
        <v>1425604.9300241238</v>
      </c>
      <c r="AY38" s="120">
        <v>43641.831048056716</v>
      </c>
      <c r="AZ38" s="120">
        <v>0</v>
      </c>
      <c r="BA38" s="120">
        <v>32856.035891640669</v>
      </c>
      <c r="BB38" s="120">
        <v>32856.04</v>
      </c>
      <c r="BC38" s="821">
        <v>1502102.7969638212</v>
      </c>
      <c r="BD38" s="808">
        <v>-32856.035891640669</v>
      </c>
      <c r="BE38" s="808">
        <v>33453.899999999994</v>
      </c>
      <c r="BG38" s="808">
        <v>9009.7162530623336</v>
      </c>
      <c r="BI38" s="808">
        <v>3003</v>
      </c>
      <c r="BM38" s="821">
        <v>108232.42139999999</v>
      </c>
      <c r="BN38" s="821"/>
      <c r="BP38" s="808">
        <v>1622945.7987252427</v>
      </c>
      <c r="BQ38" s="808">
        <v>450</v>
      </c>
      <c r="BR38" s="814">
        <v>438</v>
      </c>
      <c r="BS38" s="824">
        <v>12</v>
      </c>
      <c r="BT38" s="814">
        <v>1598988.9677195586</v>
      </c>
      <c r="BU38" s="824">
        <v>23956.8310056841</v>
      </c>
      <c r="BV38" s="814">
        <v>438</v>
      </c>
      <c r="BW38" s="814">
        <v>1996.4025838070083</v>
      </c>
      <c r="BY38" s="62">
        <v>119250</v>
      </c>
      <c r="BZ38" s="62">
        <v>71562.421369285774</v>
      </c>
      <c r="CA38" s="62">
        <v>2003.9013262599437</v>
      </c>
      <c r="CB38" s="62">
        <v>0</v>
      </c>
      <c r="CC38" s="62">
        <v>0</v>
      </c>
      <c r="CD38" s="62">
        <v>18287.999999999989</v>
      </c>
      <c r="CE38" s="62">
        <v>211104.32269554574</v>
      </c>
      <c r="CF38" s="62">
        <v>23.456035855060637</v>
      </c>
      <c r="CH38" s="62">
        <v>126261.42595362911</v>
      </c>
      <c r="CI38" s="62">
        <v>14.029047328181012</v>
      </c>
      <c r="CJ38" s="62">
        <v>9.4269885268796259</v>
      </c>
      <c r="CK38" s="781"/>
      <c r="CL38" s="781"/>
      <c r="CM38" s="781"/>
      <c r="CN38" s="62">
        <v>1302622.4900241238</v>
      </c>
      <c r="CV38" s="62">
        <v>1100975.322542554</v>
      </c>
      <c r="CW38" s="62">
        <v>0</v>
      </c>
      <c r="CX38" s="62">
        <v>0</v>
      </c>
      <c r="CZ38" s="62">
        <v>3803.90625</v>
      </c>
      <c r="DA38" s="62">
        <v>33149.551339285761</v>
      </c>
      <c r="DB38" s="62">
        <v>32647.500000000073</v>
      </c>
      <c r="DC38" s="62">
        <v>2175.7901785714284</v>
      </c>
      <c r="DD38" s="62">
        <v>8703.2410714285925</v>
      </c>
      <c r="DE38" s="62">
        <v>1087.9051339285727</v>
      </c>
      <c r="DN38" s="62">
        <v>32856.035891640669</v>
      </c>
      <c r="DO38" s="62">
        <v>0</v>
      </c>
      <c r="DP38" s="62">
        <v>0</v>
      </c>
      <c r="DR38" s="62">
        <v>1100975.322542554</v>
      </c>
      <c r="DS38" s="62">
        <v>0</v>
      </c>
      <c r="DT38" s="62">
        <v>0</v>
      </c>
      <c r="DV38" s="62">
        <v>1133831.3584341947</v>
      </c>
      <c r="DW38" s="62">
        <v>0</v>
      </c>
      <c r="DX38" s="62">
        <v>0</v>
      </c>
      <c r="DZ38" s="62">
        <v>43641.831048056716</v>
      </c>
      <c r="EB38" s="62">
        <v>1469246.7569638211</v>
      </c>
      <c r="EC38" s="62">
        <v>450</v>
      </c>
      <c r="ED38" s="62">
        <v>3264.9927932529358</v>
      </c>
      <c r="EE38" s="62">
        <v>1446342.7052734813</v>
      </c>
      <c r="EF38" s="62">
        <v>436</v>
      </c>
      <c r="EG38" s="62">
        <v>3317.2997827373424</v>
      </c>
      <c r="EI38" s="62">
        <v>-52.306989484406586</v>
      </c>
      <c r="EJ38" s="62">
        <v>22904.051690339809</v>
      </c>
      <c r="EK38" s="62" t="s">
        <v>681</v>
      </c>
      <c r="EL38" s="789">
        <v>1.5835840016912867E-2</v>
      </c>
      <c r="EO38" s="62">
        <v>32856.035891640669</v>
      </c>
      <c r="ER38" s="62">
        <v>1100975.322542554</v>
      </c>
      <c r="ET38" s="62">
        <v>-73.013413092534819</v>
      </c>
      <c r="EX38" s="62">
        <v>1469246.7610721805</v>
      </c>
      <c r="EY38" s="62">
        <v>1446264.3210721805</v>
      </c>
      <c r="FA38" s="62">
        <v>1479120.3569638212</v>
      </c>
    </row>
    <row r="39" spans="1:157" x14ac:dyDescent="0.2">
      <c r="A39" s="241" t="s">
        <v>27</v>
      </c>
      <c r="B39" s="793">
        <v>2409</v>
      </c>
      <c r="C39" s="241">
        <v>550</v>
      </c>
      <c r="D39" s="241">
        <v>0</v>
      </c>
      <c r="E39" s="241">
        <v>0</v>
      </c>
      <c r="F39" s="241">
        <v>550</v>
      </c>
      <c r="G39" s="241">
        <v>0</v>
      </c>
      <c r="H39" s="241">
        <v>0</v>
      </c>
      <c r="I39" s="241">
        <v>0</v>
      </c>
      <c r="J39" s="241">
        <v>550</v>
      </c>
      <c r="K39" s="241">
        <v>0</v>
      </c>
      <c r="L39" s="241">
        <v>0</v>
      </c>
      <c r="M39" s="241">
        <v>550</v>
      </c>
      <c r="N39" s="62">
        <v>1345636.5053297884</v>
      </c>
      <c r="O39" s="241"/>
      <c r="P39" s="241">
        <v>164.505</v>
      </c>
      <c r="Q39" s="241">
        <v>4.03669724770642</v>
      </c>
      <c r="R39" s="241">
        <v>81.743119266054947</v>
      </c>
      <c r="S39" s="241">
        <v>279.54128440366975</v>
      </c>
      <c r="T39" s="241">
        <v>25.229357798165125</v>
      </c>
      <c r="U39" s="241">
        <v>8.07339449541284</v>
      </c>
      <c r="V39" s="241">
        <v>1.009174311926605</v>
      </c>
      <c r="W39" s="241">
        <v>564.13802752293566</v>
      </c>
      <c r="X39" s="241"/>
      <c r="Y39" s="241"/>
      <c r="Z39" s="241">
        <v>177120.88845</v>
      </c>
      <c r="AA39" s="241"/>
      <c r="AB39" s="794">
        <v>159729.83944954124</v>
      </c>
      <c r="AC39" s="794"/>
      <c r="AD39" s="795">
        <v>336850.72789954126</v>
      </c>
      <c r="AE39" s="241">
        <v>0</v>
      </c>
      <c r="AF39" s="120">
        <v>0</v>
      </c>
      <c r="AG39" s="120">
        <v>0</v>
      </c>
      <c r="AH39" s="795">
        <v>0</v>
      </c>
      <c r="AI39" s="120">
        <v>210.02109704641342</v>
      </c>
      <c r="AJ39" s="120">
        <v>0</v>
      </c>
      <c r="AK39" s="120">
        <v>195882.47679324885</v>
      </c>
      <c r="AL39" s="120">
        <v>0</v>
      </c>
      <c r="AM39" s="795">
        <v>195882.47679324885</v>
      </c>
      <c r="AN39" s="120">
        <v>51.999999999999979</v>
      </c>
      <c r="AO39" s="120">
        <v>0</v>
      </c>
      <c r="AP39" s="795">
        <v>39623.999999999985</v>
      </c>
      <c r="AQ39" s="795">
        <v>0</v>
      </c>
      <c r="AR39" s="795">
        <v>39623.999999999985</v>
      </c>
      <c r="AS39" s="795">
        <v>100000</v>
      </c>
      <c r="AT39" s="120">
        <v>0</v>
      </c>
      <c r="AU39" s="120">
        <v>31675.279999999999</v>
      </c>
      <c r="AV39" s="120">
        <v>0</v>
      </c>
      <c r="AW39" s="120">
        <v>2049668.9900225785</v>
      </c>
      <c r="AY39" s="120">
        <v>202380.06831019605</v>
      </c>
      <c r="AZ39" s="120">
        <v>0</v>
      </c>
      <c r="BA39" s="120">
        <v>40157.377200894152</v>
      </c>
      <c r="BB39" s="120">
        <v>40157.379999999997</v>
      </c>
      <c r="BC39" s="821">
        <v>2292206.4355336688</v>
      </c>
      <c r="BD39" s="808">
        <v>-40157.377200894152</v>
      </c>
      <c r="BE39" s="808">
        <v>33453.899999999994</v>
      </c>
      <c r="BG39" s="808">
        <v>16517.813130614279</v>
      </c>
      <c r="BI39" s="808">
        <v>9885</v>
      </c>
      <c r="BM39" s="821">
        <v>0</v>
      </c>
      <c r="BN39" s="821"/>
      <c r="BP39" s="808">
        <v>2311905.771463389</v>
      </c>
      <c r="BQ39" s="808">
        <v>550</v>
      </c>
      <c r="BR39" s="814">
        <v>555</v>
      </c>
      <c r="BS39" s="814">
        <v>-5</v>
      </c>
      <c r="BT39" s="814">
        <v>2329391.7279238617</v>
      </c>
      <c r="BU39" s="814">
        <v>-17485.956460472662</v>
      </c>
      <c r="BV39" s="814">
        <v>555</v>
      </c>
      <c r="BW39" s="814">
        <v>3497.1912920945324</v>
      </c>
      <c r="BY39" s="62">
        <v>145750</v>
      </c>
      <c r="BZ39" s="62">
        <v>134740.29115981652</v>
      </c>
      <c r="CA39" s="62">
        <v>88147.114556961984</v>
      </c>
      <c r="CB39" s="62">
        <v>0</v>
      </c>
      <c r="CC39" s="62">
        <v>0</v>
      </c>
      <c r="CD39" s="62">
        <v>39623.999999999985</v>
      </c>
      <c r="CE39" s="62">
        <v>408261.40571677854</v>
      </c>
      <c r="CF39" s="62">
        <v>45.362378412975396</v>
      </c>
      <c r="CH39" s="62">
        <v>354471.01537941868</v>
      </c>
      <c r="CI39" s="62">
        <v>39.385668375490965</v>
      </c>
      <c r="CJ39" s="62">
        <v>5.9767100374844304</v>
      </c>
      <c r="CK39" s="781"/>
      <c r="CL39" s="781"/>
      <c r="CM39" s="781"/>
      <c r="CN39" s="62">
        <v>1917993.7100225787</v>
      </c>
      <c r="CV39" s="62">
        <v>1345636.5053297884</v>
      </c>
      <c r="CW39" s="62">
        <v>0</v>
      </c>
      <c r="CX39" s="62">
        <v>0</v>
      </c>
      <c r="CZ39" s="62">
        <v>545.96330275229332</v>
      </c>
      <c r="DA39" s="62">
        <v>22112.331192660524</v>
      </c>
      <c r="DB39" s="62">
        <v>113572.03302752294</v>
      </c>
      <c r="DC39" s="62">
        <v>13662.45412844036</v>
      </c>
      <c r="DD39" s="62">
        <v>8744.0513761467846</v>
      </c>
      <c r="DE39" s="62">
        <v>1093.0064220183481</v>
      </c>
      <c r="DN39" s="62">
        <v>40157.377200894152</v>
      </c>
      <c r="DO39" s="62">
        <v>0</v>
      </c>
      <c r="DP39" s="62">
        <v>0</v>
      </c>
      <c r="DR39" s="62">
        <v>1345636.5053297884</v>
      </c>
      <c r="DS39" s="62">
        <v>0</v>
      </c>
      <c r="DT39" s="62">
        <v>0</v>
      </c>
      <c r="DV39" s="62">
        <v>1385793.8825306825</v>
      </c>
      <c r="DW39" s="62">
        <v>0</v>
      </c>
      <c r="DX39" s="62">
        <v>0</v>
      </c>
      <c r="DZ39" s="62">
        <v>202380.06831019605</v>
      </c>
      <c r="EB39" s="62">
        <v>2252049.055533669</v>
      </c>
      <c r="EC39" s="62">
        <v>550</v>
      </c>
      <c r="ED39" s="62">
        <v>4094.6346464248527</v>
      </c>
      <c r="EE39" s="62">
        <v>2267464.9980981909</v>
      </c>
      <c r="EF39" s="62">
        <v>546</v>
      </c>
      <c r="EG39" s="62">
        <v>4152.8662968831331</v>
      </c>
      <c r="EI39" s="62">
        <v>-58.231650458280455</v>
      </c>
      <c r="EJ39" s="62">
        <v>-15415.942564521916</v>
      </c>
      <c r="EK39" s="62" t="s">
        <v>616</v>
      </c>
      <c r="EL39" s="789">
        <v>-6.7987565750526925E-3</v>
      </c>
      <c r="EO39" s="62">
        <v>40157.377200894152</v>
      </c>
      <c r="ER39" s="62">
        <v>1345636.5053297884</v>
      </c>
      <c r="ET39" s="62">
        <v>-73.013413092534819</v>
      </c>
      <c r="EX39" s="62">
        <v>2252049.0583327748</v>
      </c>
      <c r="EY39" s="62">
        <v>2220373.778332775</v>
      </c>
      <c r="FA39" s="62">
        <v>2260531.1555336691</v>
      </c>
    </row>
    <row r="40" spans="1:157" x14ac:dyDescent="0.2">
      <c r="A40" s="241" t="s">
        <v>28</v>
      </c>
      <c r="B40" s="793">
        <v>3158</v>
      </c>
      <c r="C40" s="241">
        <v>120</v>
      </c>
      <c r="D40" s="241">
        <v>0</v>
      </c>
      <c r="E40" s="241">
        <v>0</v>
      </c>
      <c r="F40" s="241">
        <v>120</v>
      </c>
      <c r="G40" s="241">
        <v>0</v>
      </c>
      <c r="H40" s="241">
        <v>0</v>
      </c>
      <c r="I40" s="241">
        <v>0</v>
      </c>
      <c r="J40" s="241">
        <v>120</v>
      </c>
      <c r="K40" s="241">
        <v>0</v>
      </c>
      <c r="L40" s="241">
        <v>0</v>
      </c>
      <c r="M40" s="241">
        <v>120</v>
      </c>
      <c r="N40" s="62">
        <v>293593.41934468108</v>
      </c>
      <c r="O40" s="241"/>
      <c r="P40" s="241">
        <v>38.315999999999995</v>
      </c>
      <c r="Q40" s="241">
        <v>0</v>
      </c>
      <c r="R40" s="241">
        <v>81.999999999999957</v>
      </c>
      <c r="S40" s="241">
        <v>15</v>
      </c>
      <c r="T40" s="241">
        <v>15.999999999999959</v>
      </c>
      <c r="U40" s="241">
        <v>2.000000000000004</v>
      </c>
      <c r="V40" s="241">
        <v>0</v>
      </c>
      <c r="W40" s="241">
        <v>153.31599999999992</v>
      </c>
      <c r="X40" s="241"/>
      <c r="Y40" s="241"/>
      <c r="Z40" s="241">
        <v>41254.454039999997</v>
      </c>
      <c r="AA40" s="241"/>
      <c r="AB40" s="794">
        <v>39106.639999999978</v>
      </c>
      <c r="AC40" s="794"/>
      <c r="AD40" s="795">
        <v>80361.094039999967</v>
      </c>
      <c r="AE40" s="241">
        <v>0</v>
      </c>
      <c r="AF40" s="120">
        <v>0</v>
      </c>
      <c r="AG40" s="120">
        <v>0</v>
      </c>
      <c r="AH40" s="795">
        <v>0</v>
      </c>
      <c r="AI40" s="120">
        <v>99</v>
      </c>
      <c r="AJ40" s="120">
        <v>0</v>
      </c>
      <c r="AK40" s="120">
        <v>92335.319999999992</v>
      </c>
      <c r="AL40" s="120">
        <v>0</v>
      </c>
      <c r="AM40" s="795">
        <v>92335.319999999992</v>
      </c>
      <c r="AN40" s="120">
        <v>3.9999999999999956</v>
      </c>
      <c r="AO40" s="120">
        <v>0</v>
      </c>
      <c r="AP40" s="795">
        <v>3047.9999999999968</v>
      </c>
      <c r="AQ40" s="795">
        <v>0</v>
      </c>
      <c r="AR40" s="795">
        <v>3047.9999999999968</v>
      </c>
      <c r="AS40" s="795">
        <v>100000</v>
      </c>
      <c r="AT40" s="120">
        <v>0</v>
      </c>
      <c r="AU40" s="120">
        <v>1399.5654399999994</v>
      </c>
      <c r="AV40" s="120">
        <v>0</v>
      </c>
      <c r="AW40" s="120">
        <v>570737.39882468106</v>
      </c>
      <c r="AY40" s="120">
        <v>2328.4466576038976</v>
      </c>
      <c r="AZ40" s="120">
        <v>0</v>
      </c>
      <c r="BA40" s="120">
        <v>8761.609571104178</v>
      </c>
      <c r="BB40" s="120">
        <v>8761.61</v>
      </c>
      <c r="BC40" s="821">
        <v>581827.45505338907</v>
      </c>
      <c r="BD40" s="808">
        <v>-8761.609571104178</v>
      </c>
      <c r="BE40" s="808">
        <v>22302.6</v>
      </c>
      <c r="BG40" s="808">
        <v>0</v>
      </c>
      <c r="BM40" s="821">
        <v>143063.4454</v>
      </c>
      <c r="BN40" s="821"/>
      <c r="BP40" s="808">
        <v>738431.89088228485</v>
      </c>
      <c r="BQ40" s="808">
        <v>120</v>
      </c>
      <c r="BR40" s="814">
        <v>119</v>
      </c>
      <c r="BS40" s="827">
        <v>1</v>
      </c>
      <c r="BT40" s="814">
        <v>755539.91968605737</v>
      </c>
      <c r="BU40" s="827">
        <v>-17108.028803772526</v>
      </c>
      <c r="BV40" s="814">
        <v>119</v>
      </c>
      <c r="BW40" s="814">
        <v>-17108.028803772526</v>
      </c>
      <c r="BY40" s="62">
        <v>31800</v>
      </c>
      <c r="BZ40" s="62">
        <v>32144.437615999988</v>
      </c>
      <c r="CA40" s="62">
        <v>41550.894</v>
      </c>
      <c r="CB40" s="62">
        <v>0</v>
      </c>
      <c r="CC40" s="62">
        <v>0</v>
      </c>
      <c r="CD40" s="62">
        <v>3047.9999999999968</v>
      </c>
      <c r="CE40" s="62">
        <v>108543.33161599998</v>
      </c>
      <c r="CF40" s="62">
        <v>12.060370179555553</v>
      </c>
      <c r="CH40" s="62">
        <v>85237.293055598959</v>
      </c>
      <c r="CI40" s="62">
        <v>9.4708103395109955</v>
      </c>
      <c r="CJ40" s="62">
        <v>2.5895598400445579</v>
      </c>
      <c r="CK40" s="781"/>
      <c r="CL40" s="781"/>
      <c r="CM40" s="781"/>
      <c r="CN40" s="62">
        <v>469337.83338468109</v>
      </c>
      <c r="CV40" s="62">
        <v>293593.41934468108</v>
      </c>
      <c r="CW40" s="62">
        <v>0</v>
      </c>
      <c r="CX40" s="62">
        <v>0</v>
      </c>
      <c r="CZ40" s="62">
        <v>0</v>
      </c>
      <c r="DA40" s="62">
        <v>22181.819999999989</v>
      </c>
      <c r="DB40" s="62">
        <v>6094.2</v>
      </c>
      <c r="DC40" s="62">
        <v>8664.4799999999777</v>
      </c>
      <c r="DD40" s="62">
        <v>2166.1400000000044</v>
      </c>
      <c r="DE40" s="62">
        <v>0</v>
      </c>
      <c r="DN40" s="62">
        <v>8761.609571104178</v>
      </c>
      <c r="DO40" s="62">
        <v>0</v>
      </c>
      <c r="DP40" s="62">
        <v>0</v>
      </c>
      <c r="DR40" s="62">
        <v>293593.41934468108</v>
      </c>
      <c r="DS40" s="62">
        <v>0</v>
      </c>
      <c r="DT40" s="62">
        <v>0</v>
      </c>
      <c r="DV40" s="62">
        <v>302355.02891578525</v>
      </c>
      <c r="DW40" s="62">
        <v>0</v>
      </c>
      <c r="DX40" s="62">
        <v>0</v>
      </c>
      <c r="DZ40" s="62">
        <v>2328.4466576038976</v>
      </c>
      <c r="EB40" s="62">
        <v>573065.84505338909</v>
      </c>
      <c r="EC40" s="62">
        <v>120</v>
      </c>
      <c r="ED40" s="62">
        <v>4775.5487087782421</v>
      </c>
      <c r="EE40" s="62">
        <v>576218.08681076067</v>
      </c>
      <c r="EF40" s="62">
        <v>119</v>
      </c>
      <c r="EG40" s="62">
        <v>4842.1687967290809</v>
      </c>
      <c r="EI40" s="62">
        <v>-66.620087950838752</v>
      </c>
      <c r="EJ40" s="62">
        <v>-3152.2417573715793</v>
      </c>
      <c r="EK40" s="62" t="s">
        <v>616</v>
      </c>
      <c r="EL40" s="789">
        <v>-5.4705706563612719E-3</v>
      </c>
      <c r="EO40" s="62">
        <v>8761.609571104178</v>
      </c>
      <c r="ER40" s="62">
        <v>293593.41934468108</v>
      </c>
      <c r="ET40" s="62">
        <v>-73.013413092534819</v>
      </c>
      <c r="EX40" s="62">
        <v>573065.8454822849</v>
      </c>
      <c r="EY40" s="62">
        <v>571666.28004228487</v>
      </c>
      <c r="FA40" s="62">
        <v>580427.88961338904</v>
      </c>
    </row>
    <row r="41" spans="1:157" x14ac:dyDescent="0.2">
      <c r="A41" s="241" t="s">
        <v>29</v>
      </c>
      <c r="B41" s="793">
        <v>2619</v>
      </c>
      <c r="C41" s="241">
        <v>183</v>
      </c>
      <c r="D41" s="241">
        <v>0</v>
      </c>
      <c r="E41" s="241">
        <v>0</v>
      </c>
      <c r="F41" s="241">
        <v>183</v>
      </c>
      <c r="G41" s="241">
        <v>0</v>
      </c>
      <c r="H41" s="241">
        <v>0</v>
      </c>
      <c r="I41" s="241">
        <v>0</v>
      </c>
      <c r="J41" s="241">
        <v>183</v>
      </c>
      <c r="K41" s="241">
        <v>0</v>
      </c>
      <c r="L41" s="241">
        <v>0</v>
      </c>
      <c r="M41" s="241">
        <v>183</v>
      </c>
      <c r="N41" s="62">
        <v>447729.96450063866</v>
      </c>
      <c r="O41" s="241"/>
      <c r="P41" s="241">
        <v>126.3798</v>
      </c>
      <c r="Q41" s="241">
        <v>3.0164835164835195</v>
      </c>
      <c r="R41" s="241">
        <v>3.0164835164835195</v>
      </c>
      <c r="S41" s="241">
        <v>38.208791208791247</v>
      </c>
      <c r="T41" s="241">
        <v>0</v>
      </c>
      <c r="U41" s="241">
        <v>138.75824175824172</v>
      </c>
      <c r="V41" s="241">
        <v>0</v>
      </c>
      <c r="W41" s="241">
        <v>309.37980000000005</v>
      </c>
      <c r="X41" s="241"/>
      <c r="Y41" s="241"/>
      <c r="Z41" s="241">
        <v>136071.86686200002</v>
      </c>
      <c r="AA41" s="241"/>
      <c r="AB41" s="794">
        <v>167032.32494505492</v>
      </c>
      <c r="AC41" s="794"/>
      <c r="AD41" s="795">
        <v>303104.19180705491</v>
      </c>
      <c r="AE41" s="241">
        <v>1.011049723756906</v>
      </c>
      <c r="AF41" s="120">
        <v>1675.3093922651933</v>
      </c>
      <c r="AG41" s="120">
        <v>0</v>
      </c>
      <c r="AH41" s="795">
        <v>0</v>
      </c>
      <c r="AI41" s="120">
        <v>14.352941176470589</v>
      </c>
      <c r="AJ41" s="120">
        <v>0</v>
      </c>
      <c r="AK41" s="120">
        <v>13386.701176470588</v>
      </c>
      <c r="AL41" s="120">
        <v>0</v>
      </c>
      <c r="AM41" s="795">
        <v>13386.701176470588</v>
      </c>
      <c r="AN41" s="120">
        <v>14.000000000000007</v>
      </c>
      <c r="AO41" s="120">
        <v>0</v>
      </c>
      <c r="AP41" s="795">
        <v>10668.000000000005</v>
      </c>
      <c r="AQ41" s="795">
        <v>0</v>
      </c>
      <c r="AR41" s="795">
        <v>10668.000000000005</v>
      </c>
      <c r="AS41" s="795">
        <v>100000</v>
      </c>
      <c r="AT41" s="120">
        <v>0</v>
      </c>
      <c r="AU41" s="120">
        <v>27150.240000000002</v>
      </c>
      <c r="AV41" s="120">
        <v>0</v>
      </c>
      <c r="AW41" s="120">
        <v>903714.40687642933</v>
      </c>
      <c r="AY41" s="120">
        <v>0</v>
      </c>
      <c r="AZ41" s="120">
        <v>-15446.694859916404</v>
      </c>
      <c r="BA41" s="120">
        <v>13361.454595933872</v>
      </c>
      <c r="BB41" s="120">
        <v>13361.45</v>
      </c>
      <c r="BC41" s="821">
        <v>901629.16661244677</v>
      </c>
      <c r="BD41" s="808">
        <v>-13361.454595933872</v>
      </c>
      <c r="BE41" s="808">
        <v>11151.3</v>
      </c>
      <c r="BG41" s="808">
        <v>0</v>
      </c>
      <c r="BI41" s="808">
        <v>16644</v>
      </c>
      <c r="BM41" s="821">
        <v>66024.059399999984</v>
      </c>
      <c r="BN41" s="821"/>
      <c r="BP41" s="808">
        <v>982087.07141651295</v>
      </c>
      <c r="BQ41" s="808">
        <v>183</v>
      </c>
      <c r="BR41" s="814">
        <v>181</v>
      </c>
      <c r="BS41" s="814">
        <v>2</v>
      </c>
      <c r="BT41" s="814">
        <v>962719.24492705963</v>
      </c>
      <c r="BU41" s="814">
        <v>19367.82648945332</v>
      </c>
      <c r="BV41" s="814">
        <v>181</v>
      </c>
      <c r="BW41" s="814">
        <v>9683.9132447266602</v>
      </c>
      <c r="BY41" s="62">
        <v>48495</v>
      </c>
      <c r="BZ41" s="62">
        <v>121241.67672282197</v>
      </c>
      <c r="CA41" s="62">
        <v>6024.0155294117649</v>
      </c>
      <c r="CB41" s="62">
        <v>1675.3093922651933</v>
      </c>
      <c r="CC41" s="62">
        <v>0</v>
      </c>
      <c r="CD41" s="62">
        <v>10668.000000000005</v>
      </c>
      <c r="CE41" s="62">
        <v>188104.0016444989</v>
      </c>
      <c r="CF41" s="62">
        <v>20.900444627166543</v>
      </c>
      <c r="CH41" s="62">
        <v>180802.46152564249</v>
      </c>
      <c r="CI41" s="62">
        <v>20.089162391738054</v>
      </c>
      <c r="CJ41" s="62">
        <v>0.81128223542848943</v>
      </c>
      <c r="CK41" s="781"/>
      <c r="CL41" s="781"/>
      <c r="CM41" s="781"/>
      <c r="CN41" s="62">
        <v>776564.16687642934</v>
      </c>
      <c r="CV41" s="62">
        <v>447729.96450063866</v>
      </c>
      <c r="CW41" s="62">
        <v>0</v>
      </c>
      <c r="CX41" s="62">
        <v>0</v>
      </c>
      <c r="CZ41" s="62">
        <v>407.97939560439602</v>
      </c>
      <c r="DA41" s="62">
        <v>815.98895604395682</v>
      </c>
      <c r="DB41" s="62">
        <v>15523.467692307708</v>
      </c>
      <c r="DC41" s="62">
        <v>0</v>
      </c>
      <c r="DD41" s="62">
        <v>150284.88890109886</v>
      </c>
      <c r="DE41" s="62">
        <v>0</v>
      </c>
      <c r="DN41" s="62">
        <v>13361.454595933872</v>
      </c>
      <c r="DO41" s="62">
        <v>0</v>
      </c>
      <c r="DP41" s="62">
        <v>0</v>
      </c>
      <c r="DR41" s="62">
        <v>447729.96450063866</v>
      </c>
      <c r="DS41" s="62">
        <v>0</v>
      </c>
      <c r="DT41" s="62">
        <v>0</v>
      </c>
      <c r="DV41" s="62">
        <v>461091.41909657256</v>
      </c>
      <c r="DW41" s="62">
        <v>0</v>
      </c>
      <c r="DX41" s="62">
        <v>0</v>
      </c>
      <c r="DZ41" s="62">
        <v>-15446.694859916404</v>
      </c>
      <c r="EB41" s="62">
        <v>888267.71661244682</v>
      </c>
      <c r="EC41" s="62">
        <v>183</v>
      </c>
      <c r="ED41" s="62">
        <v>4853.9219487018954</v>
      </c>
      <c r="EE41" s="62">
        <v>862268.8008028568</v>
      </c>
      <c r="EF41" s="62">
        <v>177</v>
      </c>
      <c r="EG41" s="62">
        <v>4871.5751457788519</v>
      </c>
      <c r="EI41" s="62">
        <v>-17.653197076956531</v>
      </c>
      <c r="EJ41" s="62">
        <v>25998.91580959002</v>
      </c>
      <c r="EK41" s="62" t="s">
        <v>681</v>
      </c>
      <c r="EL41" s="789">
        <v>3.0151752893508937E-2</v>
      </c>
      <c r="EO41" s="62">
        <v>13361.454595933872</v>
      </c>
      <c r="ER41" s="62">
        <v>447729.96450063866</v>
      </c>
      <c r="ET41" s="62">
        <v>-73.013413092534819</v>
      </c>
      <c r="EX41" s="62">
        <v>888267.71201651287</v>
      </c>
      <c r="EY41" s="62">
        <v>861117.47201651288</v>
      </c>
      <c r="FA41" s="62">
        <v>874478.92661244678</v>
      </c>
    </row>
    <row r="42" spans="1:157" x14ac:dyDescent="0.2">
      <c r="A42" s="241" t="s">
        <v>30</v>
      </c>
      <c r="B42" s="793">
        <v>2518</v>
      </c>
      <c r="C42" s="241">
        <v>281</v>
      </c>
      <c r="D42" s="241">
        <v>0</v>
      </c>
      <c r="E42" s="241">
        <v>0</v>
      </c>
      <c r="F42" s="241">
        <v>281</v>
      </c>
      <c r="G42" s="241">
        <v>0</v>
      </c>
      <c r="H42" s="241">
        <v>0</v>
      </c>
      <c r="I42" s="241">
        <v>0</v>
      </c>
      <c r="J42" s="241">
        <v>281</v>
      </c>
      <c r="K42" s="241">
        <v>0</v>
      </c>
      <c r="L42" s="241">
        <v>0</v>
      </c>
      <c r="M42" s="241">
        <v>281</v>
      </c>
      <c r="N42" s="62">
        <v>687497.92363212828</v>
      </c>
      <c r="O42" s="241"/>
      <c r="P42" s="241">
        <v>128.30459999999999</v>
      </c>
      <c r="Q42" s="241">
        <v>1.0035714285714281</v>
      </c>
      <c r="R42" s="241">
        <v>58.207142857142813</v>
      </c>
      <c r="S42" s="241">
        <v>118.42142857142845</v>
      </c>
      <c r="T42" s="241">
        <v>25.089285714285719</v>
      </c>
      <c r="U42" s="241">
        <v>36.128571428571547</v>
      </c>
      <c r="V42" s="241">
        <v>16.057142857142846</v>
      </c>
      <c r="W42" s="241">
        <v>383.21174285714278</v>
      </c>
      <c r="X42" s="241"/>
      <c r="Y42" s="241"/>
      <c r="Z42" s="241">
        <v>138144.279774</v>
      </c>
      <c r="AA42" s="241"/>
      <c r="AB42" s="794">
        <v>134100.98771428576</v>
      </c>
      <c r="AC42" s="794"/>
      <c r="AD42" s="795">
        <v>272245.26748828578</v>
      </c>
      <c r="AE42" s="241">
        <v>0</v>
      </c>
      <c r="AF42" s="120">
        <v>0</v>
      </c>
      <c r="AG42" s="120">
        <v>0</v>
      </c>
      <c r="AH42" s="795">
        <v>0</v>
      </c>
      <c r="AI42" s="120">
        <v>119.36283185840711</v>
      </c>
      <c r="AJ42" s="120">
        <v>0</v>
      </c>
      <c r="AK42" s="120">
        <v>111327.32601769913</v>
      </c>
      <c r="AL42" s="120">
        <v>0</v>
      </c>
      <c r="AM42" s="795">
        <v>111327.32601769913</v>
      </c>
      <c r="AN42" s="120">
        <v>61.000000000000043</v>
      </c>
      <c r="AO42" s="120">
        <v>0</v>
      </c>
      <c r="AP42" s="795">
        <v>46482.000000000029</v>
      </c>
      <c r="AQ42" s="795">
        <v>0</v>
      </c>
      <c r="AR42" s="795">
        <v>46482.000000000029</v>
      </c>
      <c r="AS42" s="795">
        <v>100000</v>
      </c>
      <c r="AT42" s="120">
        <v>0</v>
      </c>
      <c r="AU42" s="120">
        <v>11012.903200000001</v>
      </c>
      <c r="AV42" s="120">
        <v>0</v>
      </c>
      <c r="AW42" s="120">
        <v>1228565.4203381133</v>
      </c>
      <c r="AY42" s="120">
        <v>6263.2574827237986</v>
      </c>
      <c r="AZ42" s="120">
        <v>0</v>
      </c>
      <c r="BA42" s="120">
        <v>20516.769079002283</v>
      </c>
      <c r="BB42" s="120">
        <v>20516.77</v>
      </c>
      <c r="BC42" s="821">
        <v>1255345.4468998394</v>
      </c>
      <c r="BD42" s="808">
        <v>-20516.769079002283</v>
      </c>
      <c r="BE42" s="808">
        <v>22302.6</v>
      </c>
      <c r="BG42" s="808">
        <v>13514.574379593501</v>
      </c>
      <c r="BI42" s="808">
        <v>12827</v>
      </c>
      <c r="BM42" s="821">
        <v>74031.699800000002</v>
      </c>
      <c r="BN42" s="821"/>
      <c r="BP42" s="808">
        <v>1357504.5520004309</v>
      </c>
      <c r="BQ42" s="808">
        <v>281</v>
      </c>
      <c r="BR42" s="814">
        <v>265</v>
      </c>
      <c r="BS42" s="814">
        <v>16</v>
      </c>
      <c r="BT42" s="814">
        <v>1264174.9993310021</v>
      </c>
      <c r="BU42" s="814">
        <v>93329.552669428755</v>
      </c>
      <c r="BV42" s="814">
        <v>265</v>
      </c>
      <c r="BW42" s="814">
        <v>5833.0970418392972</v>
      </c>
      <c r="BY42" s="62">
        <v>74465</v>
      </c>
      <c r="BZ42" s="62">
        <v>108898.10699531432</v>
      </c>
      <c r="CA42" s="62">
        <v>50097.296707964611</v>
      </c>
      <c r="CB42" s="62">
        <v>0</v>
      </c>
      <c r="CC42" s="62">
        <v>0</v>
      </c>
      <c r="CD42" s="62">
        <v>46482.000000000029</v>
      </c>
      <c r="CE42" s="62">
        <v>279942.40370327898</v>
      </c>
      <c r="CF42" s="62">
        <v>31.104711522586552</v>
      </c>
      <c r="CH42" s="62">
        <v>245161.78902992012</v>
      </c>
      <c r="CI42" s="62">
        <v>27.240198781102237</v>
      </c>
      <c r="CJ42" s="62">
        <v>3.8645127414843152</v>
      </c>
      <c r="CK42" s="781"/>
      <c r="CL42" s="781"/>
      <c r="CM42" s="781"/>
      <c r="CN42" s="62">
        <v>1117552.5171381133</v>
      </c>
      <c r="CV42" s="62">
        <v>687497.92363212828</v>
      </c>
      <c r="CW42" s="62">
        <v>0</v>
      </c>
      <c r="CX42" s="62">
        <v>0</v>
      </c>
      <c r="CZ42" s="62">
        <v>135.73303571428565</v>
      </c>
      <c r="DA42" s="62">
        <v>15745.614214285702</v>
      </c>
      <c r="DB42" s="62">
        <v>48112.257999999951</v>
      </c>
      <c r="DC42" s="62">
        <v>13586.600892857145</v>
      </c>
      <c r="DD42" s="62">
        <v>39129.771857142987</v>
      </c>
      <c r="DE42" s="62">
        <v>17391.009714285701</v>
      </c>
      <c r="DN42" s="62">
        <v>20516.769079002283</v>
      </c>
      <c r="DO42" s="62">
        <v>0</v>
      </c>
      <c r="DP42" s="62">
        <v>0</v>
      </c>
      <c r="DR42" s="62">
        <v>687497.92363212828</v>
      </c>
      <c r="DS42" s="62">
        <v>0</v>
      </c>
      <c r="DT42" s="62">
        <v>0</v>
      </c>
      <c r="DV42" s="62">
        <v>708014.6927111306</v>
      </c>
      <c r="DW42" s="62">
        <v>0</v>
      </c>
      <c r="DX42" s="62">
        <v>0</v>
      </c>
      <c r="DZ42" s="62">
        <v>6263.2574827237986</v>
      </c>
      <c r="EB42" s="62">
        <v>1234828.6768998394</v>
      </c>
      <c r="EC42" s="62">
        <v>281</v>
      </c>
      <c r="ED42" s="62">
        <v>4394.4081028464034</v>
      </c>
      <c r="EE42" s="62">
        <v>1158133.3437730581</v>
      </c>
      <c r="EF42" s="62">
        <v>258</v>
      </c>
      <c r="EG42" s="62">
        <v>4488.8889293529382</v>
      </c>
      <c r="EI42" s="62">
        <v>-94.480826506534868</v>
      </c>
      <c r="EJ42" s="62">
        <v>76695.333126781275</v>
      </c>
      <c r="EK42" s="62" t="s">
        <v>681</v>
      </c>
      <c r="EL42" s="789">
        <v>6.6223232013092007E-2</v>
      </c>
      <c r="EO42" s="62">
        <v>20516.769079002283</v>
      </c>
      <c r="ER42" s="62">
        <v>687497.92363212828</v>
      </c>
      <c r="ET42" s="62">
        <v>-73.013413092534819</v>
      </c>
      <c r="EX42" s="62">
        <v>1234828.6778208371</v>
      </c>
      <c r="EY42" s="62">
        <v>1223815.7746208371</v>
      </c>
      <c r="FA42" s="62">
        <v>1244332.5436998394</v>
      </c>
    </row>
    <row r="43" spans="1:157" x14ac:dyDescent="0.2">
      <c r="A43" s="241" t="s">
        <v>31</v>
      </c>
      <c r="B43" s="793">
        <v>2457</v>
      </c>
      <c r="C43" s="241">
        <v>352</v>
      </c>
      <c r="D43" s="241">
        <v>0</v>
      </c>
      <c r="E43" s="241">
        <v>0</v>
      </c>
      <c r="F43" s="241">
        <v>352</v>
      </c>
      <c r="G43" s="241">
        <v>0</v>
      </c>
      <c r="H43" s="241">
        <v>0</v>
      </c>
      <c r="I43" s="241">
        <v>0</v>
      </c>
      <c r="J43" s="241">
        <v>352</v>
      </c>
      <c r="K43" s="241">
        <v>0</v>
      </c>
      <c r="L43" s="241">
        <v>0</v>
      </c>
      <c r="M43" s="241">
        <v>352</v>
      </c>
      <c r="N43" s="62">
        <v>861207.36341106449</v>
      </c>
      <c r="O43" s="241"/>
      <c r="P43" s="241">
        <v>86.204799999999992</v>
      </c>
      <c r="Q43" s="241">
        <v>15.0857142857143</v>
      </c>
      <c r="R43" s="241">
        <v>1.0057142857142867</v>
      </c>
      <c r="S43" s="241">
        <v>86.491428571428671</v>
      </c>
      <c r="T43" s="241">
        <v>20.1142857142857</v>
      </c>
      <c r="U43" s="241">
        <v>4.0228571428571334</v>
      </c>
      <c r="V43" s="241">
        <v>10.057142857142866</v>
      </c>
      <c r="W43" s="241">
        <v>222.98194285714297</v>
      </c>
      <c r="X43" s="241"/>
      <c r="Y43" s="241"/>
      <c r="Z43" s="241">
        <v>92815.846111999999</v>
      </c>
      <c r="AA43" s="241"/>
      <c r="AB43" s="794">
        <v>63594.250971428606</v>
      </c>
      <c r="AC43" s="794"/>
      <c r="AD43" s="795">
        <v>156410.09708342861</v>
      </c>
      <c r="AE43" s="241">
        <v>1.0262390670553936</v>
      </c>
      <c r="AF43" s="120">
        <v>1700.4781341107871</v>
      </c>
      <c r="AG43" s="120">
        <v>0</v>
      </c>
      <c r="AH43" s="795">
        <v>0</v>
      </c>
      <c r="AI43" s="120">
        <v>26.000000000000011</v>
      </c>
      <c r="AJ43" s="120">
        <v>0</v>
      </c>
      <c r="AK43" s="120">
        <v>24249.680000000008</v>
      </c>
      <c r="AL43" s="120">
        <v>0</v>
      </c>
      <c r="AM43" s="795">
        <v>24249.680000000008</v>
      </c>
      <c r="AN43" s="120">
        <v>16.999999999999986</v>
      </c>
      <c r="AO43" s="120">
        <v>0</v>
      </c>
      <c r="AP43" s="795">
        <v>12953.999999999989</v>
      </c>
      <c r="AQ43" s="795">
        <v>0</v>
      </c>
      <c r="AR43" s="795">
        <v>12953.999999999989</v>
      </c>
      <c r="AS43" s="795">
        <v>100000</v>
      </c>
      <c r="AT43" s="120">
        <v>0</v>
      </c>
      <c r="AU43" s="120">
        <v>19817.2</v>
      </c>
      <c r="AV43" s="120">
        <v>0</v>
      </c>
      <c r="AW43" s="120">
        <v>1176338.8186286038</v>
      </c>
      <c r="AY43" s="120">
        <v>0</v>
      </c>
      <c r="AZ43" s="120">
        <v>0</v>
      </c>
      <c r="BA43" s="120">
        <v>25700.721408572255</v>
      </c>
      <c r="BB43" s="120">
        <v>25700.720000000001</v>
      </c>
      <c r="BC43" s="821">
        <v>1202039.5400371761</v>
      </c>
      <c r="BD43" s="808">
        <v>-25700.721408572255</v>
      </c>
      <c r="BE43" s="808">
        <v>0</v>
      </c>
      <c r="BG43" s="808">
        <v>6006.4775020415564</v>
      </c>
      <c r="BI43" s="808">
        <v>2002</v>
      </c>
      <c r="BM43" s="821">
        <v>0</v>
      </c>
      <c r="BN43" s="821"/>
      <c r="BP43" s="808">
        <v>1184347.2961306453</v>
      </c>
      <c r="BQ43" s="808">
        <v>352</v>
      </c>
      <c r="BR43" s="814">
        <v>343</v>
      </c>
      <c r="BS43" s="814">
        <v>9</v>
      </c>
      <c r="BT43" s="814">
        <v>1161879.6340151066</v>
      </c>
      <c r="BU43" s="814">
        <v>22467.662115538726</v>
      </c>
      <c r="BV43" s="814">
        <v>343</v>
      </c>
      <c r="BW43" s="814">
        <v>2496.4069017265251</v>
      </c>
      <c r="BY43" s="62">
        <v>93280</v>
      </c>
      <c r="BZ43" s="62">
        <v>62564.038833371451</v>
      </c>
      <c r="CA43" s="62">
        <v>10912.356000000003</v>
      </c>
      <c r="CB43" s="62">
        <v>1700.4781341107871</v>
      </c>
      <c r="CC43" s="62">
        <v>0</v>
      </c>
      <c r="CD43" s="62">
        <v>12953.999999999989</v>
      </c>
      <c r="CE43" s="62">
        <v>181410.87296748222</v>
      </c>
      <c r="CF43" s="62">
        <v>20.156763663053582</v>
      </c>
      <c r="CH43" s="62">
        <v>115855.60106896969</v>
      </c>
      <c r="CI43" s="62">
        <v>12.872844563218854</v>
      </c>
      <c r="CJ43" s="62">
        <v>7.2839190998347281</v>
      </c>
      <c r="CK43" s="781"/>
      <c r="CL43" s="781"/>
      <c r="CM43" s="781"/>
      <c r="CN43" s="62">
        <v>1056521.6186286039</v>
      </c>
      <c r="CV43" s="62">
        <v>861207.36341106449</v>
      </c>
      <c r="CW43" s="62">
        <v>0</v>
      </c>
      <c r="CX43" s="62">
        <v>0</v>
      </c>
      <c r="CZ43" s="62">
        <v>2040.342857142859</v>
      </c>
      <c r="DA43" s="62">
        <v>272.05577142857169</v>
      </c>
      <c r="DB43" s="62">
        <v>35139.737600000037</v>
      </c>
      <c r="DC43" s="62">
        <v>10892.489142857134</v>
      </c>
      <c r="DD43" s="62">
        <v>4357.0358857142755</v>
      </c>
      <c r="DE43" s="62">
        <v>10892.589714285723</v>
      </c>
      <c r="DN43" s="62">
        <v>25700.721408572255</v>
      </c>
      <c r="DO43" s="62">
        <v>0</v>
      </c>
      <c r="DP43" s="62">
        <v>0</v>
      </c>
      <c r="DR43" s="62">
        <v>861207.36341106449</v>
      </c>
      <c r="DS43" s="62">
        <v>0</v>
      </c>
      <c r="DT43" s="62">
        <v>0</v>
      </c>
      <c r="DV43" s="62">
        <v>886908.08481963677</v>
      </c>
      <c r="DW43" s="62">
        <v>0</v>
      </c>
      <c r="DX43" s="62">
        <v>0</v>
      </c>
      <c r="DZ43" s="62">
        <v>0</v>
      </c>
      <c r="EB43" s="62">
        <v>1176338.8200371761</v>
      </c>
      <c r="EC43" s="62">
        <v>352</v>
      </c>
      <c r="ED43" s="62">
        <v>3341.8716478328865</v>
      </c>
      <c r="EE43" s="62">
        <v>1151117.8070334732</v>
      </c>
      <c r="EF43" s="62">
        <v>342</v>
      </c>
      <c r="EG43" s="62">
        <v>3365.8415410335474</v>
      </c>
      <c r="EI43" s="62">
        <v>-23.969893200660863</v>
      </c>
      <c r="EJ43" s="62">
        <v>25221.013003702974</v>
      </c>
      <c r="EK43" s="62" t="s">
        <v>681</v>
      </c>
      <c r="EL43" s="789">
        <v>2.1910018982939403E-2</v>
      </c>
      <c r="EO43" s="62">
        <v>25700.721408572255</v>
      </c>
      <c r="ER43" s="62">
        <v>861207.36341106449</v>
      </c>
      <c r="ET43" s="62">
        <v>-73.013413092534819</v>
      </c>
      <c r="EX43" s="62">
        <v>1176338.8186286038</v>
      </c>
      <c r="EY43" s="62">
        <v>1156521.6186286039</v>
      </c>
      <c r="FA43" s="62">
        <v>1182222.3400371762</v>
      </c>
    </row>
    <row r="44" spans="1:157" x14ac:dyDescent="0.2">
      <c r="A44" s="701" t="s">
        <v>1018</v>
      </c>
      <c r="B44" s="793">
        <v>2515</v>
      </c>
      <c r="C44" s="241">
        <v>176</v>
      </c>
      <c r="D44" s="241">
        <v>0</v>
      </c>
      <c r="E44" s="241">
        <v>0</v>
      </c>
      <c r="F44" s="241">
        <v>176</v>
      </c>
      <c r="G44" s="241">
        <v>0</v>
      </c>
      <c r="H44" s="241">
        <v>0</v>
      </c>
      <c r="I44" s="241">
        <v>0</v>
      </c>
      <c r="J44" s="241">
        <v>176</v>
      </c>
      <c r="K44" s="241">
        <v>0</v>
      </c>
      <c r="L44" s="241">
        <v>0</v>
      </c>
      <c r="M44" s="241">
        <v>176</v>
      </c>
      <c r="N44" s="62">
        <v>430603.68170553225</v>
      </c>
      <c r="O44" s="241"/>
      <c r="P44" s="241">
        <v>101.25280000000001</v>
      </c>
      <c r="Q44" s="241">
        <v>10.05714285714285</v>
      </c>
      <c r="R44" s="241">
        <v>1.0057142857142849</v>
      </c>
      <c r="S44" s="241">
        <v>75.428571428571502</v>
      </c>
      <c r="T44" s="241">
        <v>52.297142857142831</v>
      </c>
      <c r="U44" s="241">
        <v>3.0171428571428494</v>
      </c>
      <c r="V44" s="241">
        <v>18.102857142857168</v>
      </c>
      <c r="W44" s="241">
        <v>261.1613714285715</v>
      </c>
      <c r="X44" s="241"/>
      <c r="Y44" s="241"/>
      <c r="Z44" s="241">
        <v>109017.87723200001</v>
      </c>
      <c r="AA44" s="241"/>
      <c r="AB44" s="794">
        <v>83472.314514285739</v>
      </c>
      <c r="AC44" s="794"/>
      <c r="AD44" s="795">
        <v>192490.19174628577</v>
      </c>
      <c r="AE44" s="241">
        <v>0</v>
      </c>
      <c r="AF44" s="120">
        <v>0</v>
      </c>
      <c r="AG44" s="120">
        <v>0</v>
      </c>
      <c r="AH44" s="795">
        <v>0</v>
      </c>
      <c r="AI44" s="120">
        <v>26.520547945205426</v>
      </c>
      <c r="AJ44" s="120">
        <v>0</v>
      </c>
      <c r="AK44" s="120">
        <v>24735.184657534195</v>
      </c>
      <c r="AL44" s="120">
        <v>0</v>
      </c>
      <c r="AM44" s="795">
        <v>24735.184657534195</v>
      </c>
      <c r="AN44" s="120">
        <v>17.999999999999954</v>
      </c>
      <c r="AO44" s="120">
        <v>0</v>
      </c>
      <c r="AP44" s="795">
        <v>13715.999999999965</v>
      </c>
      <c r="AQ44" s="795">
        <v>0</v>
      </c>
      <c r="AR44" s="795">
        <v>13715.999999999965</v>
      </c>
      <c r="AS44" s="795">
        <v>100000</v>
      </c>
      <c r="AT44" s="120">
        <v>0</v>
      </c>
      <c r="AU44" s="120">
        <v>3429.503999999999</v>
      </c>
      <c r="AV44" s="120">
        <v>0</v>
      </c>
      <c r="AW44" s="120">
        <v>764974.56210935221</v>
      </c>
      <c r="AY44" s="120">
        <v>78115.790237082751</v>
      </c>
      <c r="AZ44" s="120">
        <v>0</v>
      </c>
      <c r="BA44" s="120">
        <v>12850.360704286128</v>
      </c>
      <c r="BB44" s="120">
        <v>12850.36</v>
      </c>
      <c r="BC44" s="821">
        <v>855940.7130507211</v>
      </c>
      <c r="BD44" s="808">
        <v>0</v>
      </c>
      <c r="BE44" s="808">
        <v>11151.3</v>
      </c>
      <c r="BG44" s="808">
        <v>22524.290632655837</v>
      </c>
      <c r="BI44" s="808">
        <v>8134</v>
      </c>
      <c r="BM44" s="821">
        <v>97094.487842236311</v>
      </c>
      <c r="BN44" s="821"/>
      <c r="BP44" s="808">
        <v>994844.79152561328</v>
      </c>
      <c r="BQ44" s="808">
        <v>176</v>
      </c>
      <c r="BR44" s="814">
        <v>186</v>
      </c>
      <c r="BS44" s="827">
        <v>-10</v>
      </c>
      <c r="BT44" s="814">
        <v>1062407.2030982103</v>
      </c>
      <c r="BU44" s="827">
        <v>-67562.41157259699</v>
      </c>
      <c r="BV44" s="814">
        <v>186</v>
      </c>
      <c r="BW44" s="814">
        <v>6756.2411572596993</v>
      </c>
      <c r="BY44" s="62">
        <v>46640</v>
      </c>
      <c r="BZ44" s="62">
        <v>76996.076698514313</v>
      </c>
      <c r="CA44" s="62">
        <v>11130.833095890388</v>
      </c>
      <c r="CB44" s="62">
        <v>0</v>
      </c>
      <c r="CC44" s="62">
        <v>0</v>
      </c>
      <c r="CD44" s="62">
        <v>13715.999999999965</v>
      </c>
      <c r="CE44" s="62">
        <v>148482.90979440467</v>
      </c>
      <c r="CF44" s="62">
        <v>16.498101088267184</v>
      </c>
      <c r="CH44" s="62">
        <v>182321.17622465358</v>
      </c>
      <c r="CI44" s="62">
        <v>20.257908469405955</v>
      </c>
      <c r="CJ44" s="62">
        <v>-3.7598073811387707</v>
      </c>
      <c r="CK44" s="781"/>
      <c r="CL44" s="781" t="s">
        <v>616</v>
      </c>
      <c r="CM44" s="781"/>
      <c r="CN44" s="62">
        <v>661545.05810935225</v>
      </c>
      <c r="CV44" s="62">
        <v>430603.68170553225</v>
      </c>
      <c r="CW44" s="62">
        <v>0</v>
      </c>
      <c r="CX44" s="62">
        <v>0</v>
      </c>
      <c r="CZ44" s="62">
        <v>1360.2285714285704</v>
      </c>
      <c r="DA44" s="62">
        <v>272.05577142857118</v>
      </c>
      <c r="DB44" s="62">
        <v>30645.120000000028</v>
      </c>
      <c r="DC44" s="62">
        <v>28320.471771428554</v>
      </c>
      <c r="DD44" s="62">
        <v>3267.7769142857055</v>
      </c>
      <c r="DE44" s="62">
        <v>19606.66148571431</v>
      </c>
      <c r="DN44" s="62">
        <v>12850.360704286128</v>
      </c>
      <c r="DO44" s="62">
        <v>0</v>
      </c>
      <c r="DP44" s="62">
        <v>0</v>
      </c>
      <c r="DR44" s="62">
        <v>430603.68170553225</v>
      </c>
      <c r="DS44" s="62">
        <v>0</v>
      </c>
      <c r="DT44" s="62">
        <v>0</v>
      </c>
      <c r="DV44" s="62">
        <v>443454.04240981839</v>
      </c>
      <c r="DW44" s="62">
        <v>0</v>
      </c>
      <c r="DX44" s="62">
        <v>0</v>
      </c>
      <c r="DZ44" s="62">
        <v>78115.790237082751</v>
      </c>
      <c r="EB44" s="62">
        <v>843090.35305072111</v>
      </c>
      <c r="EC44" s="62">
        <v>176</v>
      </c>
      <c r="ED44" s="62">
        <v>4790.2860968790974</v>
      </c>
      <c r="EE44" s="62">
        <v>910078.89635692723</v>
      </c>
      <c r="EF44" s="62">
        <v>186</v>
      </c>
      <c r="EG44" s="62">
        <v>4892.8972922415442</v>
      </c>
      <c r="EI44" s="62">
        <v>-102.61119536244678</v>
      </c>
      <c r="EJ44" s="62">
        <v>-66988.54330620612</v>
      </c>
      <c r="EK44" s="62" t="s">
        <v>616</v>
      </c>
      <c r="EL44" s="789">
        <v>-7.3607402143224337E-2</v>
      </c>
      <c r="EM44" s="62" t="s">
        <v>996</v>
      </c>
      <c r="EO44" s="62">
        <v>0</v>
      </c>
      <c r="EP44" s="701" t="s">
        <v>1022</v>
      </c>
      <c r="ER44" s="62">
        <v>443454.04240981839</v>
      </c>
      <c r="ET44" s="62">
        <v>0</v>
      </c>
      <c r="EU44" s="701"/>
      <c r="EV44" s="701" t="s">
        <v>1022</v>
      </c>
      <c r="EX44" s="62">
        <v>855940.7130507211</v>
      </c>
      <c r="EY44" s="62">
        <v>852511.20905072114</v>
      </c>
      <c r="FA44" s="62">
        <v>852511.20905072114</v>
      </c>
    </row>
    <row r="45" spans="1:157" x14ac:dyDescent="0.2">
      <c r="A45" s="241" t="s">
        <v>33</v>
      </c>
      <c r="B45" s="793">
        <v>2002</v>
      </c>
      <c r="C45" s="241">
        <v>424</v>
      </c>
      <c r="D45" s="241">
        <v>0</v>
      </c>
      <c r="E45" s="241">
        <v>0</v>
      </c>
      <c r="F45" s="241">
        <v>424</v>
      </c>
      <c r="G45" s="241">
        <v>0</v>
      </c>
      <c r="H45" s="241">
        <v>0</v>
      </c>
      <c r="I45" s="241">
        <v>0</v>
      </c>
      <c r="J45" s="241">
        <v>424</v>
      </c>
      <c r="K45" s="241">
        <v>0</v>
      </c>
      <c r="L45" s="241">
        <v>0</v>
      </c>
      <c r="M45" s="241">
        <v>424</v>
      </c>
      <c r="N45" s="62">
        <v>1037363.4150178732</v>
      </c>
      <c r="O45" s="241"/>
      <c r="P45" s="241">
        <v>43.205599999999997</v>
      </c>
      <c r="Q45" s="241">
        <v>95.450236966824519</v>
      </c>
      <c r="R45" s="241">
        <v>1.004739336492892</v>
      </c>
      <c r="S45" s="241">
        <v>2.0094786729857841</v>
      </c>
      <c r="T45" s="241">
        <v>2.0094786729857841</v>
      </c>
      <c r="U45" s="241">
        <v>0</v>
      </c>
      <c r="V45" s="241">
        <v>0</v>
      </c>
      <c r="W45" s="241">
        <v>143.67953364928897</v>
      </c>
      <c r="X45" s="241"/>
      <c r="Y45" s="241"/>
      <c r="Z45" s="241">
        <v>46519.037464000001</v>
      </c>
      <c r="AA45" s="241"/>
      <c r="AB45" s="794">
        <v>15086.040568720366</v>
      </c>
      <c r="AC45" s="794"/>
      <c r="AD45" s="795">
        <v>61605.078032720368</v>
      </c>
      <c r="AE45" s="241">
        <v>0</v>
      </c>
      <c r="AF45" s="120">
        <v>0</v>
      </c>
      <c r="AG45" s="120">
        <v>0</v>
      </c>
      <c r="AH45" s="795">
        <v>0</v>
      </c>
      <c r="AI45" s="120">
        <v>13.86376021798365</v>
      </c>
      <c r="AJ45" s="120">
        <v>0</v>
      </c>
      <c r="AK45" s="120">
        <v>12930.451880108991</v>
      </c>
      <c r="AL45" s="120">
        <v>0</v>
      </c>
      <c r="AM45" s="795">
        <v>12930.451880108991</v>
      </c>
      <c r="AN45" s="120">
        <v>19.000000000000007</v>
      </c>
      <c r="AO45" s="120">
        <v>0</v>
      </c>
      <c r="AP45" s="795">
        <v>14478.000000000005</v>
      </c>
      <c r="AQ45" s="795">
        <v>0</v>
      </c>
      <c r="AR45" s="795">
        <v>14478.000000000005</v>
      </c>
      <c r="AS45" s="795">
        <v>100000</v>
      </c>
      <c r="AT45" s="120">
        <v>0</v>
      </c>
      <c r="AU45" s="120">
        <v>44059.6</v>
      </c>
      <c r="AV45" s="120">
        <v>0</v>
      </c>
      <c r="AW45" s="120">
        <v>1270436.5449307025</v>
      </c>
      <c r="AY45" s="120">
        <v>36740.553178047528</v>
      </c>
      <c r="AZ45" s="120">
        <v>0</v>
      </c>
      <c r="BA45" s="120">
        <v>30957.687151234764</v>
      </c>
      <c r="BB45" s="120">
        <v>30957.69</v>
      </c>
      <c r="BC45" s="821">
        <v>1338134.7852599849</v>
      </c>
      <c r="BD45" s="808">
        <v>-30957.687151234764</v>
      </c>
      <c r="BE45" s="808">
        <v>22302.6</v>
      </c>
      <c r="BG45" s="808">
        <v>40293.45324286211</v>
      </c>
      <c r="BH45" s="808">
        <v>27029.148759187003</v>
      </c>
      <c r="BI45" s="808">
        <v>17019</v>
      </c>
      <c r="BM45" s="821">
        <v>107764.88639999999</v>
      </c>
      <c r="BN45" s="821"/>
      <c r="BP45" s="808">
        <v>1521586.1865107992</v>
      </c>
      <c r="BQ45" s="808">
        <v>424</v>
      </c>
      <c r="BR45" s="814">
        <v>422</v>
      </c>
      <c r="BS45" s="814">
        <v>2</v>
      </c>
      <c r="BT45" s="814">
        <v>1499670.8704332351</v>
      </c>
      <c r="BU45" s="814">
        <v>21915.316077564145</v>
      </c>
      <c r="BV45" s="814">
        <v>422</v>
      </c>
      <c r="BW45" s="814">
        <v>10957.658038782072</v>
      </c>
      <c r="BY45" s="62">
        <v>112360</v>
      </c>
      <c r="BZ45" s="62">
        <v>24642.03121308815</v>
      </c>
      <c r="CA45" s="62">
        <v>5818.7033460490456</v>
      </c>
      <c r="CB45" s="62">
        <v>0</v>
      </c>
      <c r="CC45" s="62">
        <v>0</v>
      </c>
      <c r="CD45" s="62">
        <v>14478.000000000005</v>
      </c>
      <c r="CE45" s="62">
        <v>157298.73455913717</v>
      </c>
      <c r="CF45" s="62">
        <v>17.477637173237465</v>
      </c>
      <c r="CH45" s="62">
        <v>142091.84601373473</v>
      </c>
      <c r="CI45" s="62">
        <v>15.78798289041497</v>
      </c>
      <c r="CJ45" s="62">
        <v>1.6896542828224952</v>
      </c>
      <c r="CK45" s="781"/>
      <c r="CL45" s="781" t="s">
        <v>616</v>
      </c>
      <c r="CM45" s="781"/>
      <c r="CN45" s="62">
        <v>1126376.9449307024</v>
      </c>
      <c r="CV45" s="62">
        <v>1037363.4150178732</v>
      </c>
      <c r="CW45" s="62">
        <v>0</v>
      </c>
      <c r="CX45" s="62">
        <v>0</v>
      </c>
      <c r="CZ45" s="62">
        <v>12909.644549763016</v>
      </c>
      <c r="DA45" s="62">
        <v>271.79203791469223</v>
      </c>
      <c r="DB45" s="62">
        <v>816.41099526066432</v>
      </c>
      <c r="DC45" s="62">
        <v>1088.1929857819916</v>
      </c>
      <c r="DD45" s="62">
        <v>0</v>
      </c>
      <c r="DE45" s="62">
        <v>0</v>
      </c>
      <c r="DN45" s="62">
        <v>30957.687151234764</v>
      </c>
      <c r="DO45" s="62">
        <v>0</v>
      </c>
      <c r="DP45" s="62">
        <v>0</v>
      </c>
      <c r="DR45" s="62">
        <v>1037363.4150178732</v>
      </c>
      <c r="DS45" s="62">
        <v>0</v>
      </c>
      <c r="DT45" s="62">
        <v>0</v>
      </c>
      <c r="DV45" s="62">
        <v>1068321.1021691079</v>
      </c>
      <c r="DW45" s="62">
        <v>0</v>
      </c>
      <c r="DX45" s="62">
        <v>0</v>
      </c>
      <c r="DZ45" s="62">
        <v>36740.553178047528</v>
      </c>
      <c r="EB45" s="62">
        <v>1307177.095259985</v>
      </c>
      <c r="EC45" s="62">
        <v>424</v>
      </c>
      <c r="ED45" s="62">
        <v>3082.9648473112852</v>
      </c>
      <c r="EE45" s="62">
        <v>1293380.8222684958</v>
      </c>
      <c r="EF45" s="62">
        <v>423</v>
      </c>
      <c r="EG45" s="62">
        <v>3057.6378777032996</v>
      </c>
      <c r="EI45" s="62">
        <v>25.326969607985575</v>
      </c>
      <c r="EJ45" s="62">
        <v>13796.272991489153</v>
      </c>
      <c r="EK45" s="62" t="s">
        <v>681</v>
      </c>
      <c r="EL45" s="789">
        <v>1.0666829717864144E-2</v>
      </c>
      <c r="EO45" s="62">
        <v>30957.687151234764</v>
      </c>
      <c r="ER45" s="62">
        <v>1037363.4150178732</v>
      </c>
      <c r="ET45" s="62">
        <v>-73.013413092534819</v>
      </c>
      <c r="EX45" s="62">
        <v>1307177.0981087501</v>
      </c>
      <c r="EY45" s="62">
        <v>1263117.49810875</v>
      </c>
      <c r="FA45" s="62">
        <v>1294075.1852599848</v>
      </c>
    </row>
    <row r="46" spans="1:157" x14ac:dyDescent="0.2">
      <c r="A46" s="241" t="s">
        <v>34</v>
      </c>
      <c r="B46" s="793">
        <v>3544</v>
      </c>
      <c r="C46" s="241">
        <v>536</v>
      </c>
      <c r="D46" s="241">
        <v>0</v>
      </c>
      <c r="E46" s="241">
        <v>0</v>
      </c>
      <c r="F46" s="241">
        <v>536</v>
      </c>
      <c r="G46" s="241">
        <v>0</v>
      </c>
      <c r="H46" s="241">
        <v>0</v>
      </c>
      <c r="I46" s="241">
        <v>0</v>
      </c>
      <c r="J46" s="241">
        <v>536</v>
      </c>
      <c r="K46" s="241">
        <v>0</v>
      </c>
      <c r="L46" s="241">
        <v>0</v>
      </c>
      <c r="M46" s="241">
        <v>536</v>
      </c>
      <c r="N46" s="62">
        <v>1311383.9397395756</v>
      </c>
      <c r="O46" s="241"/>
      <c r="P46" s="241">
        <v>195.47919999999999</v>
      </c>
      <c r="Q46" s="241">
        <v>4</v>
      </c>
      <c r="R46" s="241">
        <v>90.999999999999972</v>
      </c>
      <c r="S46" s="241">
        <v>231.9999999999998</v>
      </c>
      <c r="T46" s="241">
        <v>88.000000000000028</v>
      </c>
      <c r="U46" s="241">
        <v>93.999999999999886</v>
      </c>
      <c r="V46" s="241">
        <v>8.0000000000000213</v>
      </c>
      <c r="W46" s="241">
        <v>712.47919999999965</v>
      </c>
      <c r="X46" s="241"/>
      <c r="Y46" s="241"/>
      <c r="Z46" s="241">
        <v>210470.49984800001</v>
      </c>
      <c r="AA46" s="241"/>
      <c r="AB46" s="794">
        <v>277542.14999999979</v>
      </c>
      <c r="AC46" s="794"/>
      <c r="AD46" s="795">
        <v>488012.6498479998</v>
      </c>
      <c r="AE46" s="241">
        <v>0</v>
      </c>
      <c r="AF46" s="120">
        <v>0</v>
      </c>
      <c r="AG46" s="120">
        <v>0</v>
      </c>
      <c r="AH46" s="795">
        <v>0</v>
      </c>
      <c r="AI46" s="120">
        <v>256.73949579831907</v>
      </c>
      <c r="AJ46" s="120">
        <v>0</v>
      </c>
      <c r="AK46" s="120">
        <v>239455.79294117622</v>
      </c>
      <c r="AL46" s="120">
        <v>0</v>
      </c>
      <c r="AM46" s="795">
        <v>239455.79294117622</v>
      </c>
      <c r="AN46" s="120">
        <v>58.00000000000022</v>
      </c>
      <c r="AO46" s="120">
        <v>0</v>
      </c>
      <c r="AP46" s="795">
        <v>44196.000000000167</v>
      </c>
      <c r="AQ46" s="795">
        <v>0</v>
      </c>
      <c r="AR46" s="795">
        <v>44196.000000000167</v>
      </c>
      <c r="AS46" s="795">
        <v>100000</v>
      </c>
      <c r="AT46" s="120">
        <v>0</v>
      </c>
      <c r="AU46" s="120">
        <v>70495.360000000001</v>
      </c>
      <c r="AV46" s="120">
        <v>122519.2224554377</v>
      </c>
      <c r="AW46" s="120">
        <v>2376062.9649841897</v>
      </c>
      <c r="AY46" s="120">
        <v>130054.63213118399</v>
      </c>
      <c r="AZ46" s="120">
        <v>0</v>
      </c>
      <c r="BA46" s="120">
        <v>39135.18941759866</v>
      </c>
      <c r="BB46" s="120">
        <v>39135.19</v>
      </c>
      <c r="BC46" s="821">
        <v>2545252.7865329725</v>
      </c>
      <c r="BD46" s="808">
        <v>-39135.18941759866</v>
      </c>
      <c r="BE46" s="808">
        <v>22302.6</v>
      </c>
      <c r="BG46" s="808">
        <v>3003.2387510207782</v>
      </c>
      <c r="BI46" s="808">
        <v>2628</v>
      </c>
      <c r="BM46" s="821">
        <v>119547.42719999998</v>
      </c>
      <c r="BN46" s="821"/>
      <c r="BP46" s="808">
        <v>2653598.8630663943</v>
      </c>
      <c r="BQ46" s="808">
        <v>536</v>
      </c>
      <c r="BR46" s="814">
        <v>532</v>
      </c>
      <c r="BS46" s="814">
        <v>4</v>
      </c>
      <c r="BT46" s="814">
        <v>2635744.1664077071</v>
      </c>
      <c r="BU46" s="814">
        <v>17854.6966586872</v>
      </c>
      <c r="BV46" s="814">
        <v>532</v>
      </c>
      <c r="BW46" s="814">
        <v>4463.6741646718001</v>
      </c>
      <c r="BY46" s="62">
        <v>142040</v>
      </c>
      <c r="BZ46" s="62">
        <v>195205.05993919994</v>
      </c>
      <c r="CA46" s="62">
        <v>107755.10682352931</v>
      </c>
      <c r="CB46" s="62">
        <v>0</v>
      </c>
      <c r="CC46" s="62">
        <v>0</v>
      </c>
      <c r="CD46" s="62">
        <v>44196.000000000167</v>
      </c>
      <c r="CE46" s="62">
        <v>489196.16676272941</v>
      </c>
      <c r="CF46" s="62">
        <v>54.355129640303268</v>
      </c>
      <c r="CH46" s="62">
        <v>391811.03813228069</v>
      </c>
      <c r="CI46" s="62">
        <v>43.534559792475633</v>
      </c>
      <c r="CJ46" s="62">
        <v>10.820569847827635</v>
      </c>
      <c r="CK46" s="781" t="s">
        <v>615</v>
      </c>
      <c r="CL46" s="781"/>
      <c r="CM46" s="781"/>
      <c r="CN46" s="62">
        <v>2083048.3825287519</v>
      </c>
      <c r="CV46" s="62">
        <v>1311383.9397395756</v>
      </c>
      <c r="CW46" s="62">
        <v>0</v>
      </c>
      <c r="CX46" s="62">
        <v>0</v>
      </c>
      <c r="CZ46" s="62">
        <v>541</v>
      </c>
      <c r="DA46" s="62">
        <v>24616.409999999993</v>
      </c>
      <c r="DB46" s="62">
        <v>94256.959999999919</v>
      </c>
      <c r="DC46" s="62">
        <v>47654.640000000014</v>
      </c>
      <c r="DD46" s="62">
        <v>101808.57999999987</v>
      </c>
      <c r="DE46" s="62">
        <v>8664.5600000000231</v>
      </c>
      <c r="DN46" s="62">
        <v>39135.18941759866</v>
      </c>
      <c r="DO46" s="62">
        <v>0</v>
      </c>
      <c r="DP46" s="62">
        <v>0</v>
      </c>
      <c r="DR46" s="62">
        <v>1311383.9397395756</v>
      </c>
      <c r="DS46" s="62">
        <v>0</v>
      </c>
      <c r="DT46" s="62">
        <v>0</v>
      </c>
      <c r="DV46" s="62">
        <v>1350519.1291571744</v>
      </c>
      <c r="DW46" s="62">
        <v>0</v>
      </c>
      <c r="DX46" s="62">
        <v>0</v>
      </c>
      <c r="DZ46" s="62">
        <v>130054.63213118399</v>
      </c>
      <c r="EB46" s="62">
        <v>2506117.5965329725</v>
      </c>
      <c r="EC46" s="62">
        <v>536</v>
      </c>
      <c r="ED46" s="62">
        <v>4675.5925308450978</v>
      </c>
      <c r="EE46" s="62">
        <v>2468192.2947571678</v>
      </c>
      <c r="EF46" s="62">
        <v>520</v>
      </c>
      <c r="EG46" s="62">
        <v>4746.5236437637841</v>
      </c>
      <c r="EI46" s="62">
        <v>-70.931112918686267</v>
      </c>
      <c r="EJ46" s="62">
        <v>37925.301775804721</v>
      </c>
      <c r="EK46" s="62" t="s">
        <v>681</v>
      </c>
      <c r="EL46" s="789">
        <v>1.5365618739011575E-2</v>
      </c>
      <c r="EM46" s="701"/>
      <c r="EO46" s="62">
        <v>39135.18941759866</v>
      </c>
      <c r="ER46" s="62">
        <v>1311383.9397395756</v>
      </c>
      <c r="ET46" s="62">
        <v>-73.013413092534819</v>
      </c>
      <c r="EX46" s="62">
        <v>2506117.5971153737</v>
      </c>
      <c r="EY46" s="62">
        <v>2435622.2371153738</v>
      </c>
      <c r="FA46" s="62">
        <v>2474757.4265329726</v>
      </c>
    </row>
    <row r="47" spans="1:157" x14ac:dyDescent="0.2">
      <c r="A47" s="241" t="s">
        <v>35</v>
      </c>
      <c r="B47" s="793">
        <v>2006</v>
      </c>
      <c r="C47" s="241">
        <v>231</v>
      </c>
      <c r="D47" s="241">
        <v>0</v>
      </c>
      <c r="E47" s="241">
        <v>0</v>
      </c>
      <c r="F47" s="241">
        <v>231</v>
      </c>
      <c r="G47" s="241">
        <v>0</v>
      </c>
      <c r="H47" s="241">
        <v>0</v>
      </c>
      <c r="I47" s="241">
        <v>0</v>
      </c>
      <c r="J47" s="241">
        <v>231</v>
      </c>
      <c r="K47" s="241">
        <v>0</v>
      </c>
      <c r="L47" s="241">
        <v>0</v>
      </c>
      <c r="M47" s="241">
        <v>231</v>
      </c>
      <c r="N47" s="62">
        <v>565167.33223851107</v>
      </c>
      <c r="O47" s="241"/>
      <c r="P47" s="241">
        <v>16.793700000000001</v>
      </c>
      <c r="Q47" s="241">
        <v>0</v>
      </c>
      <c r="R47" s="241">
        <v>4.0526315789473664</v>
      </c>
      <c r="S47" s="241">
        <v>2.0263157894736832</v>
      </c>
      <c r="T47" s="241">
        <v>0</v>
      </c>
      <c r="U47" s="241">
        <v>0</v>
      </c>
      <c r="V47" s="241">
        <v>0</v>
      </c>
      <c r="W47" s="241">
        <v>22.872647368421049</v>
      </c>
      <c r="X47" s="241"/>
      <c r="Y47" s="241"/>
      <c r="Z47" s="241">
        <v>18081.608853000002</v>
      </c>
      <c r="AA47" s="241"/>
      <c r="AB47" s="794">
        <v>1919.5289473684199</v>
      </c>
      <c r="AC47" s="794"/>
      <c r="AD47" s="795">
        <v>20001.137800368422</v>
      </c>
      <c r="AE47" s="241">
        <v>4.2</v>
      </c>
      <c r="AF47" s="120">
        <v>6959.4000000000005</v>
      </c>
      <c r="AG47" s="120">
        <v>0</v>
      </c>
      <c r="AH47" s="795">
        <v>0</v>
      </c>
      <c r="AI47" s="120">
        <v>9.9354838709677313</v>
      </c>
      <c r="AJ47" s="120">
        <v>0</v>
      </c>
      <c r="AK47" s="120">
        <v>9266.6270967741839</v>
      </c>
      <c r="AL47" s="120">
        <v>0</v>
      </c>
      <c r="AM47" s="795">
        <v>9266.6270967741839</v>
      </c>
      <c r="AN47" s="120">
        <v>17.999999999999996</v>
      </c>
      <c r="AO47" s="120">
        <v>0</v>
      </c>
      <c r="AP47" s="795">
        <v>13715.999999999998</v>
      </c>
      <c r="AQ47" s="795">
        <v>0</v>
      </c>
      <c r="AR47" s="795">
        <v>13715.999999999998</v>
      </c>
      <c r="AS47" s="795">
        <v>100000</v>
      </c>
      <c r="AT47" s="120">
        <v>0</v>
      </c>
      <c r="AU47" s="120">
        <v>27864.720000000001</v>
      </c>
      <c r="AV47" s="120">
        <v>0</v>
      </c>
      <c r="AW47" s="120">
        <v>742975.2171356536</v>
      </c>
      <c r="AY47" s="120">
        <v>39102.175729414099</v>
      </c>
      <c r="AZ47" s="120">
        <v>0</v>
      </c>
      <c r="BA47" s="120">
        <v>16866.098424375545</v>
      </c>
      <c r="BB47" s="120">
        <v>16866.099999999999</v>
      </c>
      <c r="BC47" s="821">
        <v>798943.49128944322</v>
      </c>
      <c r="BD47" s="808">
        <v>-16866.098424375545</v>
      </c>
      <c r="BE47" s="808">
        <v>22302.6</v>
      </c>
      <c r="BG47" s="808">
        <v>23024.830424492629</v>
      </c>
      <c r="BI47" s="808">
        <v>17269</v>
      </c>
      <c r="BM47" s="821">
        <v>104442.0076</v>
      </c>
      <c r="BN47" s="821"/>
      <c r="BP47" s="808">
        <v>949115.83088956028</v>
      </c>
      <c r="BQ47" s="808">
        <v>231</v>
      </c>
      <c r="BR47" s="814">
        <v>220</v>
      </c>
      <c r="BS47" s="814">
        <v>11</v>
      </c>
      <c r="BT47" s="814">
        <v>872991.61063868133</v>
      </c>
      <c r="BU47" s="814">
        <v>76124.220250878949</v>
      </c>
      <c r="BV47" s="814">
        <v>220</v>
      </c>
      <c r="BW47" s="814">
        <v>6920.3836591708132</v>
      </c>
      <c r="BY47" s="62">
        <v>61215</v>
      </c>
      <c r="BZ47" s="62">
        <v>8000.4551201473696</v>
      </c>
      <c r="CA47" s="62">
        <v>4169.9821935483833</v>
      </c>
      <c r="CB47" s="62">
        <v>6959.4000000000005</v>
      </c>
      <c r="CC47" s="62">
        <v>0</v>
      </c>
      <c r="CD47" s="62">
        <v>13715.999999999998</v>
      </c>
      <c r="CE47" s="62">
        <v>94060.837313695738</v>
      </c>
      <c r="CF47" s="62">
        <v>10.451204145966193</v>
      </c>
      <c r="CH47" s="62">
        <v>50073.978998367005</v>
      </c>
      <c r="CI47" s="62">
        <v>5.5637754442630003</v>
      </c>
      <c r="CJ47" s="62">
        <v>4.8874287017031923</v>
      </c>
      <c r="CK47" s="781"/>
      <c r="CL47" s="781"/>
      <c r="CM47" s="781"/>
      <c r="CN47" s="62">
        <v>615110.49713565363</v>
      </c>
      <c r="CV47" s="62">
        <v>565167.33223851107</v>
      </c>
      <c r="CW47" s="62">
        <v>0</v>
      </c>
      <c r="CX47" s="62">
        <v>0</v>
      </c>
      <c r="CZ47" s="62">
        <v>0</v>
      </c>
      <c r="DA47" s="62">
        <v>1096.277368421052</v>
      </c>
      <c r="DB47" s="62">
        <v>823.25157894736799</v>
      </c>
      <c r="DC47" s="62">
        <v>0</v>
      </c>
      <c r="DD47" s="62">
        <v>0</v>
      </c>
      <c r="DE47" s="62">
        <v>0</v>
      </c>
      <c r="DN47" s="62">
        <v>16866.098424375545</v>
      </c>
      <c r="DO47" s="62">
        <v>0</v>
      </c>
      <c r="DP47" s="62">
        <v>0</v>
      </c>
      <c r="DR47" s="62">
        <v>565167.33223851107</v>
      </c>
      <c r="DS47" s="62">
        <v>0</v>
      </c>
      <c r="DT47" s="62">
        <v>0</v>
      </c>
      <c r="DV47" s="62">
        <v>582033.43066288659</v>
      </c>
      <c r="DW47" s="62">
        <v>0</v>
      </c>
      <c r="DX47" s="62">
        <v>0</v>
      </c>
      <c r="DZ47" s="62">
        <v>39102.175729414099</v>
      </c>
      <c r="EB47" s="62">
        <v>782077.39128944324</v>
      </c>
      <c r="EC47" s="62">
        <v>231</v>
      </c>
      <c r="ED47" s="62">
        <v>3385.6164125084124</v>
      </c>
      <c r="EE47" s="62">
        <v>750715.25377071521</v>
      </c>
      <c r="EF47" s="62">
        <v>217</v>
      </c>
      <c r="EG47" s="62">
        <v>3459.5172984825585</v>
      </c>
      <c r="EI47" s="62">
        <v>-73.900885974146149</v>
      </c>
      <c r="EJ47" s="62">
        <v>31362.137518728036</v>
      </c>
      <c r="EK47" s="62" t="s">
        <v>681</v>
      </c>
      <c r="EL47" s="789">
        <v>4.1776342443025298E-2</v>
      </c>
      <c r="EM47" s="701"/>
      <c r="EO47" s="62">
        <v>16866.098424375545</v>
      </c>
      <c r="ER47" s="62">
        <v>565167.33223851107</v>
      </c>
      <c r="ET47" s="62">
        <v>-73.013413092534819</v>
      </c>
      <c r="EX47" s="62">
        <v>782077.3928650677</v>
      </c>
      <c r="EY47" s="62">
        <v>754212.67286506773</v>
      </c>
      <c r="FA47" s="62">
        <v>771078.77128944325</v>
      </c>
    </row>
    <row r="48" spans="1:157" x14ac:dyDescent="0.2">
      <c r="A48" s="241" t="s">
        <v>36</v>
      </c>
      <c r="B48" s="793">
        <v>2434</v>
      </c>
      <c r="C48" s="241">
        <v>366</v>
      </c>
      <c r="D48" s="241">
        <v>0</v>
      </c>
      <c r="E48" s="241">
        <v>0</v>
      </c>
      <c r="F48" s="241">
        <v>366</v>
      </c>
      <c r="G48" s="241">
        <v>8</v>
      </c>
      <c r="H48" s="241">
        <v>0</v>
      </c>
      <c r="I48" s="241">
        <v>0</v>
      </c>
      <c r="J48" s="241">
        <v>358</v>
      </c>
      <c r="K48" s="241">
        <v>0</v>
      </c>
      <c r="L48" s="241">
        <v>0</v>
      </c>
      <c r="M48" s="241">
        <v>358</v>
      </c>
      <c r="N48" s="62">
        <v>875887.03437829856</v>
      </c>
      <c r="O48" s="241"/>
      <c r="P48" s="241">
        <v>191.63739999999999</v>
      </c>
      <c r="Q48" s="241">
        <v>0.98895027624309417</v>
      </c>
      <c r="R48" s="241">
        <v>4.9447513812154709</v>
      </c>
      <c r="S48" s="241">
        <v>134.4972375690609</v>
      </c>
      <c r="T48" s="241">
        <v>167.13259668508297</v>
      </c>
      <c r="U48" s="241">
        <v>23.734806629834267</v>
      </c>
      <c r="V48" s="241">
        <v>10.87845303867403</v>
      </c>
      <c r="W48" s="241">
        <v>533.81419558011066</v>
      </c>
      <c r="X48" s="241"/>
      <c r="Y48" s="241"/>
      <c r="Z48" s="241">
        <v>206334.07220599998</v>
      </c>
      <c r="AA48" s="241"/>
      <c r="AB48" s="794">
        <v>184110.79613259682</v>
      </c>
      <c r="AC48" s="794"/>
      <c r="AD48" s="795">
        <v>390444.86833859677</v>
      </c>
      <c r="AE48" s="241">
        <v>8.7792915531335147</v>
      </c>
      <c r="AF48" s="120">
        <v>14547.286103542234</v>
      </c>
      <c r="AG48" s="120">
        <v>0</v>
      </c>
      <c r="AH48" s="795">
        <v>0</v>
      </c>
      <c r="AI48" s="120">
        <v>7.0196078431372548</v>
      </c>
      <c r="AJ48" s="120">
        <v>0</v>
      </c>
      <c r="AK48" s="120">
        <v>6547.0478431372549</v>
      </c>
      <c r="AL48" s="120">
        <v>0</v>
      </c>
      <c r="AM48" s="795">
        <v>6547.0478431372549</v>
      </c>
      <c r="AN48" s="120">
        <v>46.95081967213131</v>
      </c>
      <c r="AO48" s="120">
        <v>0</v>
      </c>
      <c r="AP48" s="795">
        <v>35776.524590164059</v>
      </c>
      <c r="AQ48" s="795">
        <v>0</v>
      </c>
      <c r="AR48" s="795">
        <v>35776.524590164059</v>
      </c>
      <c r="AS48" s="795">
        <v>100000</v>
      </c>
      <c r="AT48" s="120">
        <v>0</v>
      </c>
      <c r="AU48" s="120">
        <v>57205.002399999998</v>
      </c>
      <c r="AV48" s="120">
        <v>131947.39766900512</v>
      </c>
      <c r="AW48" s="120">
        <v>1612355.1613227441</v>
      </c>
      <c r="AY48" s="120">
        <v>45379.489349385025</v>
      </c>
      <c r="AZ48" s="120">
        <v>0</v>
      </c>
      <c r="BA48" s="120">
        <v>26138.801887127465</v>
      </c>
      <c r="BB48" s="120">
        <v>26138.799999999999</v>
      </c>
      <c r="BC48" s="821">
        <v>1683873.4525592567</v>
      </c>
      <c r="BD48" s="808">
        <v>-26138.801887127465</v>
      </c>
      <c r="BE48" s="808">
        <v>33453.899999999994</v>
      </c>
      <c r="BF48" s="808">
        <v>219556.60004797752</v>
      </c>
      <c r="BG48" s="808">
        <v>31534.006885718169</v>
      </c>
      <c r="BI48" s="808">
        <v>16143</v>
      </c>
      <c r="BM48" s="821">
        <v>192029.51380000002</v>
      </c>
      <c r="BN48" s="821"/>
      <c r="BP48" s="808">
        <v>2150451.6714058244</v>
      </c>
      <c r="BQ48" s="808">
        <v>358</v>
      </c>
      <c r="BR48" s="814">
        <v>368</v>
      </c>
      <c r="BS48" s="824">
        <v>-10</v>
      </c>
      <c r="BT48" s="814">
        <v>2117052.7528895624</v>
      </c>
      <c r="BU48" s="824">
        <v>33398.918516261969</v>
      </c>
      <c r="BV48" s="814">
        <v>368</v>
      </c>
      <c r="BW48" s="814">
        <v>-3339.891851626197</v>
      </c>
      <c r="BY48" s="62">
        <v>94870</v>
      </c>
      <c r="BZ48" s="62">
        <v>156177.94733543872</v>
      </c>
      <c r="CA48" s="62">
        <v>2946.1715294117648</v>
      </c>
      <c r="CB48" s="62">
        <v>14547.286103542234</v>
      </c>
      <c r="CC48" s="62">
        <v>0</v>
      </c>
      <c r="CD48" s="62">
        <v>35776.524590164059</v>
      </c>
      <c r="CE48" s="62">
        <v>304317.92955855682</v>
      </c>
      <c r="CF48" s="62">
        <v>33.81310328428409</v>
      </c>
      <c r="CH48" s="62">
        <v>474080.57568939036</v>
      </c>
      <c r="CI48" s="62">
        <v>52.675619521043373</v>
      </c>
      <c r="CJ48" s="62">
        <v>-18.862516236759284</v>
      </c>
      <c r="CK48" s="781" t="s">
        <v>614</v>
      </c>
      <c r="CL48" s="781" t="s">
        <v>616</v>
      </c>
      <c r="CM48" s="781"/>
      <c r="CN48" s="62">
        <v>1323202.7612537388</v>
      </c>
      <c r="CV48" s="62">
        <v>875887.03437829856</v>
      </c>
      <c r="CW48" s="62">
        <v>0</v>
      </c>
      <c r="CX48" s="62">
        <v>0</v>
      </c>
      <c r="CZ48" s="62">
        <v>133.75552486187848</v>
      </c>
      <c r="DA48" s="62">
        <v>1337.6046961325969</v>
      </c>
      <c r="DB48" s="62">
        <v>54643.53767955806</v>
      </c>
      <c r="DC48" s="62">
        <v>90507.315082872985</v>
      </c>
      <c r="DD48" s="62">
        <v>25706.457016574597</v>
      </c>
      <c r="DE48" s="62">
        <v>11782.126132596681</v>
      </c>
      <c r="DN48" s="62">
        <v>26138.801887127465</v>
      </c>
      <c r="DO48" s="62">
        <v>0</v>
      </c>
      <c r="DP48" s="62">
        <v>0</v>
      </c>
      <c r="DR48" s="62">
        <v>875887.03437829856</v>
      </c>
      <c r="DS48" s="62">
        <v>0</v>
      </c>
      <c r="DT48" s="62">
        <v>0</v>
      </c>
      <c r="DV48" s="62">
        <v>902025.83626542601</v>
      </c>
      <c r="DW48" s="62">
        <v>0</v>
      </c>
      <c r="DX48" s="62">
        <v>0</v>
      </c>
      <c r="DZ48" s="62">
        <v>45379.489349385025</v>
      </c>
      <c r="EB48" s="62">
        <v>1657734.6525592566</v>
      </c>
      <c r="EC48" s="62">
        <v>358</v>
      </c>
      <c r="ED48" s="62">
        <v>4630.5437222325609</v>
      </c>
      <c r="EE48" s="62">
        <v>1631577.3873485774</v>
      </c>
      <c r="EF48" s="62">
        <v>363</v>
      </c>
      <c r="EG48" s="62">
        <v>4494.7035464148139</v>
      </c>
      <c r="EI48" s="62">
        <v>135.84017581774697</v>
      </c>
      <c r="EJ48" s="62">
        <v>26157.265210679267</v>
      </c>
      <c r="EK48" s="62" t="s">
        <v>681</v>
      </c>
      <c r="EL48" s="789">
        <v>1.6031887554648312E-2</v>
      </c>
      <c r="EO48" s="62">
        <v>26138.801887127465</v>
      </c>
      <c r="ER48" s="62">
        <v>875887.03437829856</v>
      </c>
      <c r="ET48" s="62">
        <v>-73.013413092534819</v>
      </c>
      <c r="EX48" s="62">
        <v>1657734.6506721291</v>
      </c>
      <c r="EY48" s="62">
        <v>1600529.6482721292</v>
      </c>
      <c r="FA48" s="62">
        <v>1626668.4501592568</v>
      </c>
    </row>
    <row r="49" spans="1:157" x14ac:dyDescent="0.2">
      <c r="A49" s="241" t="s">
        <v>37</v>
      </c>
      <c r="B49" s="793">
        <v>2522</v>
      </c>
      <c r="C49" s="241">
        <v>407</v>
      </c>
      <c r="D49" s="241">
        <v>0</v>
      </c>
      <c r="E49" s="241">
        <v>0</v>
      </c>
      <c r="F49" s="241">
        <v>407</v>
      </c>
      <c r="G49" s="241">
        <v>0</v>
      </c>
      <c r="H49" s="241">
        <v>0</v>
      </c>
      <c r="I49" s="241">
        <v>0</v>
      </c>
      <c r="J49" s="241">
        <v>407</v>
      </c>
      <c r="K49" s="241">
        <v>0</v>
      </c>
      <c r="L49" s="241">
        <v>0</v>
      </c>
      <c r="M49" s="241">
        <v>407</v>
      </c>
      <c r="N49" s="62">
        <v>995771.01394404343</v>
      </c>
      <c r="O49" s="241"/>
      <c r="P49" s="241">
        <v>29.141199999999998</v>
      </c>
      <c r="Q49" s="241">
        <v>15.036945812807891</v>
      </c>
      <c r="R49" s="241">
        <v>17.041871921182263</v>
      </c>
      <c r="S49" s="241">
        <v>19.046798029556633</v>
      </c>
      <c r="T49" s="241">
        <v>5.0123152709359644</v>
      </c>
      <c r="U49" s="241">
        <v>2.0049261083743857</v>
      </c>
      <c r="V49" s="241">
        <v>2.0049261083743857</v>
      </c>
      <c r="W49" s="241">
        <v>89.288983251231542</v>
      </c>
      <c r="X49" s="241"/>
      <c r="Y49" s="241"/>
      <c r="Z49" s="241">
        <v>31376.038627999998</v>
      </c>
      <c r="AA49" s="241"/>
      <c r="AB49" s="794">
        <v>21439.346527093592</v>
      </c>
      <c r="AC49" s="794"/>
      <c r="AD49" s="795">
        <v>52815.385155093594</v>
      </c>
      <c r="AE49" s="241">
        <v>1.0049382716049382</v>
      </c>
      <c r="AF49" s="120">
        <v>1665.1827160493826</v>
      </c>
      <c r="AG49" s="120">
        <v>0</v>
      </c>
      <c r="AH49" s="795">
        <v>0</v>
      </c>
      <c r="AI49" s="120">
        <v>12.902017291066265</v>
      </c>
      <c r="AJ49" s="120">
        <v>0</v>
      </c>
      <c r="AK49" s="120">
        <v>12033.453487031684</v>
      </c>
      <c r="AL49" s="120">
        <v>0</v>
      </c>
      <c r="AM49" s="795">
        <v>12033.453487031684</v>
      </c>
      <c r="AN49" s="120">
        <v>35</v>
      </c>
      <c r="AO49" s="120">
        <v>0</v>
      </c>
      <c r="AP49" s="795">
        <v>26670</v>
      </c>
      <c r="AQ49" s="795">
        <v>0</v>
      </c>
      <c r="AR49" s="795">
        <v>26670</v>
      </c>
      <c r="AS49" s="795">
        <v>100000</v>
      </c>
      <c r="AT49" s="120">
        <v>0</v>
      </c>
      <c r="AU49" s="120">
        <v>17147.52</v>
      </c>
      <c r="AV49" s="120">
        <v>0</v>
      </c>
      <c r="AW49" s="120">
        <v>1206102.5553022181</v>
      </c>
      <c r="AY49" s="120">
        <v>0</v>
      </c>
      <c r="AZ49" s="120">
        <v>-3932.4424358296919</v>
      </c>
      <c r="BA49" s="120">
        <v>29716.459128661671</v>
      </c>
      <c r="BB49" s="120">
        <v>29716.46</v>
      </c>
      <c r="BC49" s="821">
        <v>1231886.5719950502</v>
      </c>
      <c r="BD49" s="808">
        <v>-29716.459128661671</v>
      </c>
      <c r="BE49" s="808">
        <v>22302.6</v>
      </c>
      <c r="BG49" s="808">
        <v>4379.7231785719678</v>
      </c>
      <c r="BI49" s="808">
        <v>3504</v>
      </c>
      <c r="BM49" s="821">
        <v>0</v>
      </c>
      <c r="BN49" s="821"/>
      <c r="BP49" s="808">
        <v>1232356.4360449605</v>
      </c>
      <c r="BQ49" s="808">
        <v>407</v>
      </c>
      <c r="BR49" s="814">
        <v>405</v>
      </c>
      <c r="BS49" s="814">
        <v>2</v>
      </c>
      <c r="BT49" s="814">
        <v>1229523.0103495778</v>
      </c>
      <c r="BU49" s="814">
        <v>2833.4256953827571</v>
      </c>
      <c r="BV49" s="814">
        <v>405</v>
      </c>
      <c r="BW49" s="814">
        <v>1416.7128476913786</v>
      </c>
      <c r="BY49" s="62">
        <v>107855</v>
      </c>
      <c r="BZ49" s="62">
        <v>21126.15406203744</v>
      </c>
      <c r="CA49" s="62">
        <v>5415.0540691642582</v>
      </c>
      <c r="CB49" s="62">
        <v>1665.1827160493826</v>
      </c>
      <c r="CC49" s="62">
        <v>0</v>
      </c>
      <c r="CD49" s="62">
        <v>26670</v>
      </c>
      <c r="CE49" s="62">
        <v>162731.39084725108</v>
      </c>
      <c r="CF49" s="62">
        <v>18.081265649694565</v>
      </c>
      <c r="CH49" s="62">
        <v>52101.074371456198</v>
      </c>
      <c r="CI49" s="62">
        <v>5.7890082634951332</v>
      </c>
      <c r="CJ49" s="62">
        <v>12.292257386199431</v>
      </c>
      <c r="CK49" s="781"/>
      <c r="CL49" s="781"/>
      <c r="CM49" s="781"/>
      <c r="CN49" s="62">
        <v>1088955.035302218</v>
      </c>
      <c r="CV49" s="62">
        <v>995771.01394404343</v>
      </c>
      <c r="CW49" s="62">
        <v>0</v>
      </c>
      <c r="CX49" s="62">
        <v>0</v>
      </c>
      <c r="CZ49" s="62">
        <v>2033.7469211822672</v>
      </c>
      <c r="DA49" s="62">
        <v>4609.9967733990143</v>
      </c>
      <c r="DB49" s="62">
        <v>7738.333103448269</v>
      </c>
      <c r="DC49" s="62">
        <v>2714.3190886699526</v>
      </c>
      <c r="DD49" s="62">
        <v>2171.4753201970457</v>
      </c>
      <c r="DE49" s="62">
        <v>2171.4753201970457</v>
      </c>
      <c r="DN49" s="62">
        <v>29716.459128661671</v>
      </c>
      <c r="DO49" s="62">
        <v>0</v>
      </c>
      <c r="DP49" s="62">
        <v>0</v>
      </c>
      <c r="DR49" s="62">
        <v>995771.01394404343</v>
      </c>
      <c r="DS49" s="62">
        <v>0</v>
      </c>
      <c r="DT49" s="62">
        <v>0</v>
      </c>
      <c r="DV49" s="62">
        <v>1025487.4730727051</v>
      </c>
      <c r="DW49" s="62">
        <v>0</v>
      </c>
      <c r="DX49" s="62">
        <v>0</v>
      </c>
      <c r="DZ49" s="62">
        <v>-3932.4424358296919</v>
      </c>
      <c r="EB49" s="62">
        <v>1202170.1119950502</v>
      </c>
      <c r="EC49" s="62">
        <v>407</v>
      </c>
      <c r="ED49" s="62">
        <v>2953.7349189067572</v>
      </c>
      <c r="EE49" s="62">
        <v>1206842.3992195402</v>
      </c>
      <c r="EF49" s="62">
        <v>409</v>
      </c>
      <c r="EG49" s="62">
        <v>2950.7149125172132</v>
      </c>
      <c r="EI49" s="62">
        <v>3.0200063895440508</v>
      </c>
      <c r="EJ49" s="62">
        <v>-4672.2872244899627</v>
      </c>
      <c r="EK49" s="62" t="s">
        <v>616</v>
      </c>
      <c r="EL49" s="789">
        <v>-3.8714974113533886E-3</v>
      </c>
      <c r="EO49" s="62">
        <v>29716.459128661671</v>
      </c>
      <c r="ER49" s="62">
        <v>995771.01394404343</v>
      </c>
      <c r="ET49" s="62">
        <v>-73.013413092534819</v>
      </c>
      <c r="EX49" s="62">
        <v>1202170.1128663884</v>
      </c>
      <c r="EY49" s="62">
        <v>1185022.5928663884</v>
      </c>
      <c r="FA49" s="62">
        <v>1214739.0519950502</v>
      </c>
    </row>
    <row r="50" spans="1:157" x14ac:dyDescent="0.2">
      <c r="A50" s="241" t="s">
        <v>38</v>
      </c>
      <c r="B50" s="793">
        <v>2436</v>
      </c>
      <c r="C50" s="241">
        <v>310</v>
      </c>
      <c r="D50" s="241">
        <v>0</v>
      </c>
      <c r="E50" s="241">
        <v>0</v>
      </c>
      <c r="F50" s="241">
        <v>310</v>
      </c>
      <c r="G50" s="241">
        <v>5</v>
      </c>
      <c r="H50" s="241">
        <v>0</v>
      </c>
      <c r="I50" s="241">
        <v>0</v>
      </c>
      <c r="J50" s="241">
        <v>305</v>
      </c>
      <c r="K50" s="241">
        <v>0</v>
      </c>
      <c r="L50" s="241">
        <v>0</v>
      </c>
      <c r="M50" s="241">
        <v>305</v>
      </c>
      <c r="N50" s="62">
        <v>746216.60750106443</v>
      </c>
      <c r="O50" s="241"/>
      <c r="P50" s="241">
        <v>45.140000000000008</v>
      </c>
      <c r="Q50" s="241">
        <v>5.9223300970873662</v>
      </c>
      <c r="R50" s="241">
        <v>51.326860841423965</v>
      </c>
      <c r="S50" s="241">
        <v>54.288025889967756</v>
      </c>
      <c r="T50" s="241">
        <v>10.857605177993522</v>
      </c>
      <c r="U50" s="241">
        <v>0</v>
      </c>
      <c r="V50" s="241">
        <v>0</v>
      </c>
      <c r="W50" s="241">
        <v>167.53482200647264</v>
      </c>
      <c r="X50" s="241"/>
      <c r="Y50" s="241"/>
      <c r="Z50" s="241">
        <v>48601.786600000014</v>
      </c>
      <c r="AA50" s="241"/>
      <c r="AB50" s="794">
        <v>42621.282362459591</v>
      </c>
      <c r="AC50" s="794"/>
      <c r="AD50" s="795">
        <v>91223.068962459598</v>
      </c>
      <c r="AE50" s="241">
        <v>2.0065789473684208</v>
      </c>
      <c r="AF50" s="120">
        <v>3324.9013157894733</v>
      </c>
      <c r="AG50" s="120">
        <v>0</v>
      </c>
      <c r="AH50" s="795">
        <v>0</v>
      </c>
      <c r="AI50" s="120">
        <v>0</v>
      </c>
      <c r="AJ50" s="120">
        <v>0</v>
      </c>
      <c r="AK50" s="120">
        <v>0</v>
      </c>
      <c r="AL50" s="120">
        <v>0</v>
      </c>
      <c r="AM50" s="795">
        <v>0</v>
      </c>
      <c r="AN50" s="120">
        <v>14.758064516129018</v>
      </c>
      <c r="AO50" s="120">
        <v>0</v>
      </c>
      <c r="AP50" s="795">
        <v>11245.645161290311</v>
      </c>
      <c r="AQ50" s="795">
        <v>0</v>
      </c>
      <c r="AR50" s="795">
        <v>11245.645161290311</v>
      </c>
      <c r="AS50" s="795">
        <v>100000</v>
      </c>
      <c r="AT50" s="120">
        <v>0</v>
      </c>
      <c r="AU50" s="120">
        <v>13575.12</v>
      </c>
      <c r="AV50" s="120">
        <v>0</v>
      </c>
      <c r="AW50" s="120">
        <v>965585.34294060385</v>
      </c>
      <c r="AY50" s="120">
        <v>74130.29355823074</v>
      </c>
      <c r="AZ50" s="120">
        <v>0</v>
      </c>
      <c r="BA50" s="120">
        <v>22269.090993223119</v>
      </c>
      <c r="BB50" s="120">
        <v>22269.09</v>
      </c>
      <c r="BC50" s="821">
        <v>1061984.7274920575</v>
      </c>
      <c r="BD50" s="808">
        <v>-22269.090993223119</v>
      </c>
      <c r="BE50" s="808">
        <v>22302.6</v>
      </c>
      <c r="BF50" s="808">
        <v>215878.84230015945</v>
      </c>
      <c r="BG50" s="808">
        <v>12888.899639797508</v>
      </c>
      <c r="BM50" s="821">
        <v>0</v>
      </c>
      <c r="BN50" s="821"/>
      <c r="BP50" s="808">
        <v>1290785.9784387911</v>
      </c>
      <c r="BQ50" s="808">
        <v>305</v>
      </c>
      <c r="BR50" s="814">
        <v>304</v>
      </c>
      <c r="BS50" s="824">
        <v>1</v>
      </c>
      <c r="BT50" s="814">
        <v>1295018.9380798892</v>
      </c>
      <c r="BU50" s="824">
        <v>-4232.959641097812</v>
      </c>
      <c r="BV50" s="814">
        <v>304</v>
      </c>
      <c r="BW50" s="814">
        <v>-4232.959641097812</v>
      </c>
      <c r="BY50" s="62">
        <v>80825</v>
      </c>
      <c r="BZ50" s="62">
        <v>36489.227584983841</v>
      </c>
      <c r="CA50" s="62">
        <v>0</v>
      </c>
      <c r="CB50" s="62">
        <v>3324.9013157894733</v>
      </c>
      <c r="CC50" s="62">
        <v>0</v>
      </c>
      <c r="CD50" s="62">
        <v>11245.645161290311</v>
      </c>
      <c r="CE50" s="62">
        <v>131884.7740620636</v>
      </c>
      <c r="CF50" s="62">
        <v>14.653863784673733</v>
      </c>
      <c r="CH50" s="62">
        <v>302731.32692344603</v>
      </c>
      <c r="CI50" s="62">
        <v>33.636814102605115</v>
      </c>
      <c r="CJ50" s="62">
        <v>-18.982950317931383</v>
      </c>
      <c r="CK50" s="781" t="s">
        <v>614</v>
      </c>
      <c r="CL50" s="781" t="s">
        <v>616</v>
      </c>
      <c r="CM50" s="781"/>
      <c r="CN50" s="62">
        <v>852010.22294060374</v>
      </c>
      <c r="CV50" s="62">
        <v>746216.60750106443</v>
      </c>
      <c r="CW50" s="62">
        <v>0</v>
      </c>
      <c r="CX50" s="62">
        <v>0</v>
      </c>
      <c r="CZ50" s="62">
        <v>800.99514563106629</v>
      </c>
      <c r="DA50" s="62">
        <v>13884.429126213596</v>
      </c>
      <c r="DB50" s="62">
        <v>22056.139158576098</v>
      </c>
      <c r="DC50" s="62">
        <v>5879.7189320388316</v>
      </c>
      <c r="DD50" s="62">
        <v>0</v>
      </c>
      <c r="DE50" s="62">
        <v>0</v>
      </c>
      <c r="DN50" s="62">
        <v>22269.090993223119</v>
      </c>
      <c r="DO50" s="62">
        <v>0</v>
      </c>
      <c r="DP50" s="62">
        <v>0</v>
      </c>
      <c r="DR50" s="62">
        <v>746216.60750106443</v>
      </c>
      <c r="DS50" s="62">
        <v>0</v>
      </c>
      <c r="DT50" s="62">
        <v>0</v>
      </c>
      <c r="DV50" s="62">
        <v>768485.69849428756</v>
      </c>
      <c r="DW50" s="62">
        <v>0</v>
      </c>
      <c r="DX50" s="62">
        <v>0</v>
      </c>
      <c r="DZ50" s="62">
        <v>74130.29355823074</v>
      </c>
      <c r="EB50" s="62">
        <v>1039715.6374920578</v>
      </c>
      <c r="EC50" s="62">
        <v>305</v>
      </c>
      <c r="ED50" s="62">
        <v>3408.9037294821565</v>
      </c>
      <c r="EE50" s="62">
        <v>1028635.0367817386</v>
      </c>
      <c r="EF50" s="62">
        <v>303</v>
      </c>
      <c r="EG50" s="62">
        <v>3394.8351048902264</v>
      </c>
      <c r="EI50" s="62">
        <v>14.068624591930075</v>
      </c>
      <c r="EJ50" s="62">
        <v>11080.600710319122</v>
      </c>
      <c r="EK50" s="62" t="s">
        <v>681</v>
      </c>
      <c r="EL50" s="789">
        <v>1.0772140082829266E-2</v>
      </c>
      <c r="EO50" s="62">
        <v>22269.090993223119</v>
      </c>
      <c r="ER50" s="62">
        <v>746216.60750106443</v>
      </c>
      <c r="ET50" s="62">
        <v>-73.013413092534819</v>
      </c>
      <c r="EX50" s="62">
        <v>1039715.6364988346</v>
      </c>
      <c r="EY50" s="62">
        <v>1026140.5164988346</v>
      </c>
      <c r="FA50" s="62">
        <v>1048409.6074920577</v>
      </c>
    </row>
    <row r="51" spans="1:157" x14ac:dyDescent="0.2">
      <c r="A51" s="241" t="s">
        <v>39</v>
      </c>
      <c r="B51" s="793">
        <v>2452</v>
      </c>
      <c r="C51" s="241">
        <v>202</v>
      </c>
      <c r="D51" s="241">
        <v>0</v>
      </c>
      <c r="E51" s="241">
        <v>0</v>
      </c>
      <c r="F51" s="241">
        <v>202</v>
      </c>
      <c r="G51" s="241">
        <v>0</v>
      </c>
      <c r="H51" s="241">
        <v>0</v>
      </c>
      <c r="I51" s="241">
        <v>0</v>
      </c>
      <c r="J51" s="241">
        <v>202</v>
      </c>
      <c r="K51" s="241">
        <v>0</v>
      </c>
      <c r="L51" s="241">
        <v>0</v>
      </c>
      <c r="M51" s="241">
        <v>202</v>
      </c>
      <c r="N51" s="62">
        <v>494215.5892302132</v>
      </c>
      <c r="O51" s="241"/>
      <c r="P51" s="241">
        <v>69.265799999999999</v>
      </c>
      <c r="Q51" s="241">
        <v>9.0000000000000089</v>
      </c>
      <c r="R51" s="241">
        <v>3.0000000000000098</v>
      </c>
      <c r="S51" s="241">
        <v>111.0000000000001</v>
      </c>
      <c r="T51" s="241">
        <v>3.0000000000000098</v>
      </c>
      <c r="U51" s="241">
        <v>9.9999999999999982</v>
      </c>
      <c r="V51" s="241">
        <v>1.9999999999999998</v>
      </c>
      <c r="W51" s="241">
        <v>207.26580000000013</v>
      </c>
      <c r="X51" s="241"/>
      <c r="Y51" s="241"/>
      <c r="Z51" s="241">
        <v>74577.794202000005</v>
      </c>
      <c r="AA51" s="241"/>
      <c r="AB51" s="794">
        <v>61747.290000000045</v>
      </c>
      <c r="AC51" s="794"/>
      <c r="AD51" s="795">
        <v>136325.08420200006</v>
      </c>
      <c r="AE51" s="241">
        <v>0</v>
      </c>
      <c r="AF51" s="120">
        <v>0</v>
      </c>
      <c r="AG51" s="120">
        <v>0</v>
      </c>
      <c r="AH51" s="795">
        <v>0</v>
      </c>
      <c r="AI51" s="120">
        <v>3.5232558139534924</v>
      </c>
      <c r="AJ51" s="120">
        <v>0</v>
      </c>
      <c r="AK51" s="120">
        <v>3286.0702325581433</v>
      </c>
      <c r="AL51" s="120">
        <v>0</v>
      </c>
      <c r="AM51" s="795">
        <v>3286.0702325581433</v>
      </c>
      <c r="AN51" s="120">
        <v>11.000000000000009</v>
      </c>
      <c r="AO51" s="120">
        <v>0</v>
      </c>
      <c r="AP51" s="795">
        <v>8382.0000000000073</v>
      </c>
      <c r="AQ51" s="795">
        <v>0</v>
      </c>
      <c r="AR51" s="795">
        <v>8382.0000000000073</v>
      </c>
      <c r="AS51" s="795">
        <v>100000</v>
      </c>
      <c r="AT51" s="120">
        <v>0</v>
      </c>
      <c r="AU51" s="120">
        <v>14765.92</v>
      </c>
      <c r="AV51" s="120">
        <v>0</v>
      </c>
      <c r="AW51" s="120">
        <v>756974.66366477148</v>
      </c>
      <c r="AY51" s="120">
        <v>22004.488250931841</v>
      </c>
      <c r="AZ51" s="120">
        <v>0</v>
      </c>
      <c r="BA51" s="120">
        <v>14748.709444692033</v>
      </c>
      <c r="BB51" s="120">
        <v>14748.71</v>
      </c>
      <c r="BC51" s="821">
        <v>793727.86136039533</v>
      </c>
      <c r="BD51" s="808">
        <v>-14748.709444692033</v>
      </c>
      <c r="BE51" s="808">
        <v>11151.3</v>
      </c>
      <c r="BG51" s="808">
        <v>10511.335628572724</v>
      </c>
      <c r="BI51" s="808">
        <v>6194</v>
      </c>
      <c r="BM51" s="821">
        <v>49448.287799999991</v>
      </c>
      <c r="BN51" s="821"/>
      <c r="BP51" s="808">
        <v>856284.07534427615</v>
      </c>
      <c r="BQ51" s="808">
        <v>202</v>
      </c>
      <c r="BR51" s="814">
        <v>210</v>
      </c>
      <c r="BS51" s="814">
        <v>-8</v>
      </c>
      <c r="BT51" s="814">
        <v>917477.42645864957</v>
      </c>
      <c r="BU51" s="814">
        <v>-61193.351114373421</v>
      </c>
      <c r="BV51" s="814">
        <v>210</v>
      </c>
      <c r="BW51" s="814">
        <v>7649.1688892966777</v>
      </c>
      <c r="BY51" s="62">
        <v>53530</v>
      </c>
      <c r="BZ51" s="62">
        <v>54530.033680800028</v>
      </c>
      <c r="CA51" s="62">
        <v>1478.7316046511646</v>
      </c>
      <c r="CB51" s="62">
        <v>0</v>
      </c>
      <c r="CC51" s="62">
        <v>0</v>
      </c>
      <c r="CD51" s="62">
        <v>8382.0000000000073</v>
      </c>
      <c r="CE51" s="62">
        <v>117920.7652854512</v>
      </c>
      <c r="CF51" s="62">
        <v>13.102307253939022</v>
      </c>
      <c r="CH51" s="62">
        <v>110730.53289722529</v>
      </c>
      <c r="CI51" s="62">
        <v>12.303392544136143</v>
      </c>
      <c r="CJ51" s="62">
        <v>0.79891470980287949</v>
      </c>
      <c r="CK51" s="781"/>
      <c r="CL51" s="781"/>
      <c r="CM51" s="781"/>
      <c r="CN51" s="62">
        <v>642208.74366477143</v>
      </c>
      <c r="CV51" s="62">
        <v>494215.5892302132</v>
      </c>
      <c r="CW51" s="62">
        <v>0</v>
      </c>
      <c r="CX51" s="62">
        <v>0</v>
      </c>
      <c r="CZ51" s="62">
        <v>1217.2500000000011</v>
      </c>
      <c r="DA51" s="62">
        <v>811.53000000000259</v>
      </c>
      <c r="DB51" s="62">
        <v>45097.080000000038</v>
      </c>
      <c r="DC51" s="62">
        <v>1624.5900000000051</v>
      </c>
      <c r="DD51" s="62">
        <v>10830.699999999997</v>
      </c>
      <c r="DE51" s="62">
        <v>2166.1399999999994</v>
      </c>
      <c r="DN51" s="62">
        <v>14748.709444692033</v>
      </c>
      <c r="DO51" s="62">
        <v>0</v>
      </c>
      <c r="DP51" s="62">
        <v>0</v>
      </c>
      <c r="DR51" s="62">
        <v>494215.5892302132</v>
      </c>
      <c r="DS51" s="62">
        <v>0</v>
      </c>
      <c r="DT51" s="62">
        <v>0</v>
      </c>
      <c r="DV51" s="62">
        <v>508964.29867490521</v>
      </c>
      <c r="DW51" s="62">
        <v>0</v>
      </c>
      <c r="DX51" s="62">
        <v>0</v>
      </c>
      <c r="DZ51" s="62">
        <v>22004.488250931841</v>
      </c>
      <c r="EB51" s="62">
        <v>778979.15136039536</v>
      </c>
      <c r="EC51" s="62">
        <v>202</v>
      </c>
      <c r="ED51" s="62">
        <v>3856.3324324772047</v>
      </c>
      <c r="EE51" s="62">
        <v>815232.21974316577</v>
      </c>
      <c r="EF51" s="62">
        <v>210</v>
      </c>
      <c r="EG51" s="62">
        <v>3882.0581892531704</v>
      </c>
      <c r="EI51" s="62">
        <v>-25.725756775965692</v>
      </c>
      <c r="EJ51" s="62">
        <v>-36253.068382770405</v>
      </c>
      <c r="EK51" s="62" t="s">
        <v>616</v>
      </c>
      <c r="EL51" s="789">
        <v>-4.4469621667053011E-2</v>
      </c>
      <c r="EM51" s="62" t="s">
        <v>996</v>
      </c>
      <c r="EO51" s="62">
        <v>14748.709444692033</v>
      </c>
      <c r="ER51" s="62">
        <v>494215.5892302132</v>
      </c>
      <c r="ET51" s="62">
        <v>-73.013413092534819</v>
      </c>
      <c r="EX51" s="62">
        <v>778979.15191570332</v>
      </c>
      <c r="EY51" s="62">
        <v>764213.23191570328</v>
      </c>
      <c r="FA51" s="62">
        <v>778961.94136039529</v>
      </c>
    </row>
    <row r="52" spans="1:157" x14ac:dyDescent="0.2">
      <c r="A52" s="241" t="s">
        <v>40</v>
      </c>
      <c r="B52" s="793">
        <v>2627</v>
      </c>
      <c r="C52" s="241">
        <v>385</v>
      </c>
      <c r="D52" s="241">
        <v>0</v>
      </c>
      <c r="E52" s="241">
        <v>0</v>
      </c>
      <c r="F52" s="241">
        <v>385</v>
      </c>
      <c r="G52" s="241">
        <v>0</v>
      </c>
      <c r="H52" s="241">
        <v>0</v>
      </c>
      <c r="I52" s="241">
        <v>0</v>
      </c>
      <c r="J52" s="241">
        <v>385</v>
      </c>
      <c r="K52" s="241">
        <v>0</v>
      </c>
      <c r="L52" s="241">
        <v>0</v>
      </c>
      <c r="M52" s="241">
        <v>385</v>
      </c>
      <c r="N52" s="62">
        <v>941945.55373085185</v>
      </c>
      <c r="O52" s="241"/>
      <c r="P52" s="241">
        <v>27.720000000000002</v>
      </c>
      <c r="Q52" s="241">
        <v>9.0234375</v>
      </c>
      <c r="R52" s="241">
        <v>9.0234375</v>
      </c>
      <c r="S52" s="241">
        <v>12.03125</v>
      </c>
      <c r="T52" s="241">
        <v>3.0078125</v>
      </c>
      <c r="U52" s="241">
        <v>0</v>
      </c>
      <c r="V52" s="241">
        <v>3.0078125</v>
      </c>
      <c r="W52" s="241">
        <v>63.813749999999999</v>
      </c>
      <c r="X52" s="241"/>
      <c r="Y52" s="241"/>
      <c r="Z52" s="241">
        <v>29845.846800000003</v>
      </c>
      <c r="AA52" s="241"/>
      <c r="AB52" s="794">
        <v>13435.8984375</v>
      </c>
      <c r="AC52" s="794"/>
      <c r="AD52" s="795">
        <v>43281.745237499999</v>
      </c>
      <c r="AE52" s="241">
        <v>0</v>
      </c>
      <c r="AF52" s="120">
        <v>0</v>
      </c>
      <c r="AG52" s="120">
        <v>0</v>
      </c>
      <c r="AH52" s="795">
        <v>0</v>
      </c>
      <c r="AI52" s="120">
        <v>36.276595744680868</v>
      </c>
      <c r="AJ52" s="120">
        <v>0</v>
      </c>
      <c r="AK52" s="120">
        <v>33834.455319148954</v>
      </c>
      <c r="AL52" s="120">
        <v>0</v>
      </c>
      <c r="AM52" s="795">
        <v>33834.455319148954</v>
      </c>
      <c r="AN52" s="120">
        <v>27.999999999999989</v>
      </c>
      <c r="AO52" s="120">
        <v>0</v>
      </c>
      <c r="AP52" s="795">
        <v>21335.999999999993</v>
      </c>
      <c r="AQ52" s="795">
        <v>0</v>
      </c>
      <c r="AR52" s="795">
        <v>21335.999999999993</v>
      </c>
      <c r="AS52" s="795">
        <v>100000</v>
      </c>
      <c r="AT52" s="120">
        <v>0</v>
      </c>
      <c r="AU52" s="120">
        <v>20005.439999999999</v>
      </c>
      <c r="AV52" s="120">
        <v>0</v>
      </c>
      <c r="AW52" s="120">
        <v>1160403.1942875008</v>
      </c>
      <c r="AY52" s="120">
        <v>15260.729529658565</v>
      </c>
      <c r="AZ52" s="120">
        <v>0</v>
      </c>
      <c r="BA52" s="120">
        <v>28110.164040625907</v>
      </c>
      <c r="BB52" s="120">
        <v>28110.16</v>
      </c>
      <c r="BC52" s="821">
        <v>1203774.0878577852</v>
      </c>
      <c r="BD52" s="808">
        <v>-28110.164040625907</v>
      </c>
      <c r="BE52" s="808">
        <v>22302.6</v>
      </c>
      <c r="BG52" s="808">
        <v>8008.636669388743</v>
      </c>
      <c r="BI52" s="808">
        <v>12012</v>
      </c>
      <c r="BM52" s="821">
        <v>0</v>
      </c>
      <c r="BN52" s="821"/>
      <c r="BP52" s="808">
        <v>1217987.1604865482</v>
      </c>
      <c r="BQ52" s="808">
        <v>385</v>
      </c>
      <c r="BR52" s="814">
        <v>389</v>
      </c>
      <c r="BS52" s="814">
        <v>-4</v>
      </c>
      <c r="BT52" s="814">
        <v>1222847.8031732745</v>
      </c>
      <c r="BU52" s="814">
        <v>-4860.6426867262926</v>
      </c>
      <c r="BV52" s="814">
        <v>389</v>
      </c>
      <c r="BW52" s="814">
        <v>1215.1606716815731</v>
      </c>
      <c r="BY52" s="62">
        <v>102025</v>
      </c>
      <c r="BZ52" s="62">
        <v>17312.698095</v>
      </c>
      <c r="CA52" s="62">
        <v>15225.50489361703</v>
      </c>
      <c r="CB52" s="62">
        <v>0</v>
      </c>
      <c r="CC52" s="62">
        <v>0</v>
      </c>
      <c r="CD52" s="62">
        <v>21335.999999999993</v>
      </c>
      <c r="CE52" s="62">
        <v>155899.20298861703</v>
      </c>
      <c r="CF52" s="62">
        <v>17.322133665401893</v>
      </c>
      <c r="CH52" s="62">
        <v>77134.363080374664</v>
      </c>
      <c r="CI52" s="62">
        <v>8.5704847867082954</v>
      </c>
      <c r="CJ52" s="62">
        <v>8.7516488786935973</v>
      </c>
      <c r="CK52" s="781"/>
      <c r="CL52" s="781"/>
      <c r="CM52" s="781"/>
      <c r="CN52" s="62">
        <v>1040397.7542875009</v>
      </c>
      <c r="CV52" s="62">
        <v>941945.55373085185</v>
      </c>
      <c r="CW52" s="62">
        <v>0</v>
      </c>
      <c r="CX52" s="62">
        <v>0</v>
      </c>
      <c r="CZ52" s="62">
        <v>1220.419921875</v>
      </c>
      <c r="DA52" s="62">
        <v>2440.9300781249999</v>
      </c>
      <c r="DB52" s="62">
        <v>4888.0562499999996</v>
      </c>
      <c r="DC52" s="62">
        <v>1628.8207031249999</v>
      </c>
      <c r="DD52" s="62">
        <v>0</v>
      </c>
      <c r="DE52" s="62">
        <v>3257.6714843749996</v>
      </c>
      <c r="DN52" s="62">
        <v>28110.164040625907</v>
      </c>
      <c r="DO52" s="62">
        <v>0</v>
      </c>
      <c r="DP52" s="62">
        <v>0</v>
      </c>
      <c r="DR52" s="62">
        <v>941945.55373085185</v>
      </c>
      <c r="DS52" s="62">
        <v>0</v>
      </c>
      <c r="DT52" s="62">
        <v>0</v>
      </c>
      <c r="DV52" s="62">
        <v>970055.71777147776</v>
      </c>
      <c r="DW52" s="62">
        <v>0</v>
      </c>
      <c r="DX52" s="62">
        <v>0</v>
      </c>
      <c r="DZ52" s="62">
        <v>15260.729529658565</v>
      </c>
      <c r="EB52" s="62">
        <v>1175663.9278577853</v>
      </c>
      <c r="EC52" s="62">
        <v>385</v>
      </c>
      <c r="ED52" s="62">
        <v>3053.6725398903513</v>
      </c>
      <c r="EE52" s="62">
        <v>1187528.2370391539</v>
      </c>
      <c r="EF52" s="62">
        <v>387</v>
      </c>
      <c r="EG52" s="62">
        <v>3068.5484161218446</v>
      </c>
      <c r="EI52" s="62">
        <v>-14.875876231493294</v>
      </c>
      <c r="EJ52" s="62">
        <v>-11864.309181368677</v>
      </c>
      <c r="EK52" s="62" t="s">
        <v>616</v>
      </c>
      <c r="EL52" s="789">
        <v>-9.9907596394926811E-3</v>
      </c>
      <c r="EO52" s="62">
        <v>28110.164040625907</v>
      </c>
      <c r="ER52" s="62">
        <v>941945.55373085185</v>
      </c>
      <c r="ET52" s="62">
        <v>-73.013413092534819</v>
      </c>
      <c r="EX52" s="62">
        <v>1175663.9238171594</v>
      </c>
      <c r="EY52" s="62">
        <v>1155658.4838171594</v>
      </c>
      <c r="FA52" s="62">
        <v>1183768.6478577852</v>
      </c>
    </row>
    <row r="53" spans="1:157" x14ac:dyDescent="0.2">
      <c r="A53" s="241" t="s">
        <v>619</v>
      </c>
      <c r="B53" s="793">
        <v>2009</v>
      </c>
      <c r="C53" s="241">
        <v>280</v>
      </c>
      <c r="D53" s="241">
        <v>0</v>
      </c>
      <c r="E53" s="241">
        <v>0</v>
      </c>
      <c r="F53" s="241">
        <v>280</v>
      </c>
      <c r="G53" s="241">
        <v>0</v>
      </c>
      <c r="H53" s="241">
        <v>0</v>
      </c>
      <c r="I53" s="241">
        <v>0</v>
      </c>
      <c r="J53" s="241">
        <v>280</v>
      </c>
      <c r="K53" s="241">
        <v>0</v>
      </c>
      <c r="L53" s="241">
        <v>0</v>
      </c>
      <c r="M53" s="241">
        <v>280</v>
      </c>
      <c r="N53" s="62">
        <v>685051.31180425594</v>
      </c>
      <c r="O53" s="241"/>
      <c r="P53" s="241">
        <v>132.88800000000001</v>
      </c>
      <c r="Q53" s="241">
        <v>0.99999999999999956</v>
      </c>
      <c r="R53" s="241">
        <v>5.0000000000000124</v>
      </c>
      <c r="S53" s="241">
        <v>12.000000000000012</v>
      </c>
      <c r="T53" s="241">
        <v>117.00000000000003</v>
      </c>
      <c r="U53" s="241">
        <v>64.999999999999957</v>
      </c>
      <c r="V53" s="241">
        <v>35</v>
      </c>
      <c r="W53" s="241">
        <v>367.88799999999998</v>
      </c>
      <c r="X53" s="241"/>
      <c r="Y53" s="241"/>
      <c r="Z53" s="241">
        <v>143079.18072</v>
      </c>
      <c r="AA53" s="241"/>
      <c r="AB53" s="794">
        <v>178029.16999999998</v>
      </c>
      <c r="AC53" s="794"/>
      <c r="AD53" s="795">
        <v>321108.35071999999</v>
      </c>
      <c r="AE53" s="241">
        <v>0</v>
      </c>
      <c r="AF53" s="120">
        <v>0</v>
      </c>
      <c r="AG53" s="120">
        <v>0</v>
      </c>
      <c r="AH53" s="795">
        <v>0</v>
      </c>
      <c r="AI53" s="120">
        <v>10.677966101694921</v>
      </c>
      <c r="AJ53" s="120">
        <v>0</v>
      </c>
      <c r="AK53" s="120">
        <v>9959.1254237288176</v>
      </c>
      <c r="AL53" s="120">
        <v>0</v>
      </c>
      <c r="AM53" s="795">
        <v>9959.1254237288176</v>
      </c>
      <c r="AN53" s="120">
        <v>0</v>
      </c>
      <c r="AO53" s="120">
        <v>0</v>
      </c>
      <c r="AP53" s="795">
        <v>0</v>
      </c>
      <c r="AQ53" s="795">
        <v>0</v>
      </c>
      <c r="AR53" s="795">
        <v>0</v>
      </c>
      <c r="AS53" s="795">
        <v>100000</v>
      </c>
      <c r="AT53" s="120">
        <v>0</v>
      </c>
      <c r="AU53" s="120">
        <v>2548.3119999999999</v>
      </c>
      <c r="AV53" s="120">
        <v>0</v>
      </c>
      <c r="AW53" s="120">
        <v>1118667.0999479848</v>
      </c>
      <c r="AY53" s="120">
        <v>6483.7901477946434</v>
      </c>
      <c r="AZ53" s="120">
        <v>0</v>
      </c>
      <c r="BA53" s="120">
        <v>20443.75566590975</v>
      </c>
      <c r="BB53" s="120">
        <v>20443.759999999998</v>
      </c>
      <c r="BC53" s="821">
        <v>1145594.6457616892</v>
      </c>
      <c r="BD53" s="808">
        <v>0</v>
      </c>
      <c r="BE53" s="808">
        <v>22302.6</v>
      </c>
      <c r="BG53" s="808">
        <v>0</v>
      </c>
      <c r="BM53" s="821">
        <v>0</v>
      </c>
      <c r="BN53" s="821"/>
      <c r="BP53" s="808">
        <v>1167897.2457616893</v>
      </c>
      <c r="BQ53" s="808">
        <v>280</v>
      </c>
      <c r="BR53" s="814">
        <v>276</v>
      </c>
      <c r="BS53" s="814">
        <v>4</v>
      </c>
      <c r="BT53" s="814">
        <v>1178298.1183649327</v>
      </c>
      <c r="BU53" s="814">
        <v>-10400.87260324345</v>
      </c>
      <c r="BV53" s="814">
        <v>276</v>
      </c>
      <c r="BW53" s="814">
        <v>-2600.2181508108624</v>
      </c>
      <c r="BY53" s="62">
        <v>74200</v>
      </c>
      <c r="BZ53" s="62">
        <v>128443.34028800001</v>
      </c>
      <c r="CA53" s="62">
        <v>4481.6064406779678</v>
      </c>
      <c r="CB53" s="62">
        <v>0</v>
      </c>
      <c r="CC53" s="62">
        <v>0</v>
      </c>
      <c r="CD53" s="62">
        <v>0</v>
      </c>
      <c r="CE53" s="62">
        <v>207124.94672867798</v>
      </c>
      <c r="CF53" s="62">
        <v>23.01388296985311</v>
      </c>
      <c r="CH53" s="62">
        <v>193840.80990078411</v>
      </c>
      <c r="CI53" s="62">
        <v>21.537867766753791</v>
      </c>
      <c r="CJ53" s="62">
        <v>1.476015203099319</v>
      </c>
      <c r="CK53" s="781"/>
      <c r="CL53" s="781"/>
      <c r="CM53" s="781"/>
      <c r="CN53" s="62">
        <v>1016118.7879479848</v>
      </c>
      <c r="CV53" s="62">
        <v>685051.31180425594</v>
      </c>
      <c r="CW53" s="62">
        <v>0</v>
      </c>
      <c r="CX53" s="62">
        <v>0</v>
      </c>
      <c r="CZ53" s="62">
        <v>135.24999999999994</v>
      </c>
      <c r="DA53" s="62">
        <v>1352.5500000000034</v>
      </c>
      <c r="DB53" s="62">
        <v>4875.3600000000051</v>
      </c>
      <c r="DC53" s="62">
        <v>63359.010000000009</v>
      </c>
      <c r="DD53" s="62">
        <v>70399.549999999945</v>
      </c>
      <c r="DE53" s="62">
        <v>37907.449999999997</v>
      </c>
      <c r="DN53" s="62">
        <v>20443.75566590975</v>
      </c>
      <c r="DO53" s="62">
        <v>0</v>
      </c>
      <c r="DP53" s="62">
        <v>0</v>
      </c>
      <c r="DR53" s="62">
        <v>685051.31180425594</v>
      </c>
      <c r="DS53" s="62">
        <v>0</v>
      </c>
      <c r="DT53" s="62">
        <v>0</v>
      </c>
      <c r="DV53" s="62">
        <v>705495.06747016567</v>
      </c>
      <c r="DW53" s="62">
        <v>0</v>
      </c>
      <c r="DX53" s="62">
        <v>0</v>
      </c>
      <c r="DZ53" s="62">
        <v>6483.7901477946434</v>
      </c>
      <c r="EB53" s="62">
        <v>1125150.8857616892</v>
      </c>
      <c r="EC53" s="62">
        <v>280</v>
      </c>
      <c r="ED53" s="62">
        <v>4018.3960205774615</v>
      </c>
      <c r="EE53" s="62">
        <v>1135595.6318144856</v>
      </c>
      <c r="EF53" s="62">
        <v>276</v>
      </c>
      <c r="EG53" s="62">
        <v>4114.4769268640785</v>
      </c>
      <c r="EI53" s="62">
        <v>-96.080906286616937</v>
      </c>
      <c r="EJ53" s="62">
        <v>-10444.746052796487</v>
      </c>
      <c r="EK53" s="62" t="s">
        <v>616</v>
      </c>
      <c r="EL53" s="789">
        <v>-9.1975926643074416E-3</v>
      </c>
      <c r="EO53" s="62">
        <v>0</v>
      </c>
      <c r="EP53" s="701" t="s">
        <v>1022</v>
      </c>
      <c r="ER53" s="62">
        <v>705495.06747016567</v>
      </c>
      <c r="ET53" s="62">
        <v>0</v>
      </c>
      <c r="EU53" s="701"/>
      <c r="EV53" s="701" t="s">
        <v>1022</v>
      </c>
      <c r="EX53" s="62">
        <v>1145594.6457616892</v>
      </c>
      <c r="EY53" s="62">
        <v>1143046.3337616893</v>
      </c>
      <c r="FA53" s="62">
        <v>1143046.3337616893</v>
      </c>
    </row>
    <row r="54" spans="1:157" x14ac:dyDescent="0.2">
      <c r="A54" s="241" t="s">
        <v>42</v>
      </c>
      <c r="B54" s="793">
        <v>2473</v>
      </c>
      <c r="C54" s="241">
        <v>270</v>
      </c>
      <c r="D54" s="241">
        <v>0</v>
      </c>
      <c r="E54" s="241">
        <v>0</v>
      </c>
      <c r="F54" s="241">
        <v>270</v>
      </c>
      <c r="G54" s="241">
        <v>0</v>
      </c>
      <c r="H54" s="241">
        <v>0</v>
      </c>
      <c r="I54" s="241">
        <v>0</v>
      </c>
      <c r="J54" s="241">
        <v>270</v>
      </c>
      <c r="K54" s="241">
        <v>0</v>
      </c>
      <c r="L54" s="241">
        <v>0</v>
      </c>
      <c r="M54" s="241">
        <v>270</v>
      </c>
      <c r="N54" s="62">
        <v>660585.19352553249</v>
      </c>
      <c r="O54" s="241"/>
      <c r="P54" s="241">
        <v>89.316000000000003</v>
      </c>
      <c r="Q54" s="241">
        <v>3.0111524163568713</v>
      </c>
      <c r="R54" s="241">
        <v>29.107806691449781</v>
      </c>
      <c r="S54" s="241">
        <v>35.130111524163631</v>
      </c>
      <c r="T54" s="241">
        <v>34.126394052044695</v>
      </c>
      <c r="U54" s="241">
        <v>58.215613382899562</v>
      </c>
      <c r="V54" s="241">
        <v>5.0185873605947853</v>
      </c>
      <c r="W54" s="241">
        <v>253.92566542750933</v>
      </c>
      <c r="X54" s="241"/>
      <c r="Y54" s="241"/>
      <c r="Z54" s="241">
        <v>96165.644040000014</v>
      </c>
      <c r="AA54" s="241"/>
      <c r="AB54" s="794">
        <v>109521.40483271373</v>
      </c>
      <c r="AC54" s="794"/>
      <c r="AD54" s="795">
        <v>205687.04887271376</v>
      </c>
      <c r="AE54" s="241">
        <v>1.0150375939849623</v>
      </c>
      <c r="AF54" s="120">
        <v>1681.9172932330825</v>
      </c>
      <c r="AG54" s="120">
        <v>0</v>
      </c>
      <c r="AH54" s="795">
        <v>0</v>
      </c>
      <c r="AI54" s="120">
        <v>10.500000000000004</v>
      </c>
      <c r="AJ54" s="120">
        <v>0</v>
      </c>
      <c r="AK54" s="120">
        <v>9793.1400000000031</v>
      </c>
      <c r="AL54" s="120">
        <v>0</v>
      </c>
      <c r="AM54" s="795">
        <v>9793.1400000000031</v>
      </c>
      <c r="AN54" s="120">
        <v>3.999999999999996</v>
      </c>
      <c r="AO54" s="120">
        <v>0</v>
      </c>
      <c r="AP54" s="795">
        <v>3047.9999999999968</v>
      </c>
      <c r="AQ54" s="795">
        <v>0</v>
      </c>
      <c r="AR54" s="795">
        <v>3047.9999999999968</v>
      </c>
      <c r="AS54" s="795">
        <v>100000</v>
      </c>
      <c r="AT54" s="120">
        <v>0</v>
      </c>
      <c r="AU54" s="120">
        <v>14765.92</v>
      </c>
      <c r="AV54" s="120">
        <v>0</v>
      </c>
      <c r="AW54" s="120">
        <v>995561.21969147935</v>
      </c>
      <c r="AY54" s="120">
        <v>34171.668032713817</v>
      </c>
      <c r="AZ54" s="120">
        <v>0</v>
      </c>
      <c r="BA54" s="120">
        <v>19713.621534984402</v>
      </c>
      <c r="BB54" s="120">
        <v>19713.62</v>
      </c>
      <c r="BC54" s="821">
        <v>1049446.5092591776</v>
      </c>
      <c r="BD54" s="808">
        <v>-19713.621534984402</v>
      </c>
      <c r="BE54" s="808">
        <v>33453.899999999994</v>
      </c>
      <c r="BG54" s="808">
        <v>8509.1764612255392</v>
      </c>
      <c r="BI54" s="808">
        <v>19897</v>
      </c>
      <c r="BM54" s="821">
        <v>176994.32419999997</v>
      </c>
      <c r="BN54" s="821"/>
      <c r="BP54" s="808">
        <v>1268587.2883854187</v>
      </c>
      <c r="BQ54" s="808">
        <v>270</v>
      </c>
      <c r="BR54" s="814">
        <v>266</v>
      </c>
      <c r="BS54" s="814">
        <v>4</v>
      </c>
      <c r="BT54" s="814">
        <v>1257574.446416521</v>
      </c>
      <c r="BU54" s="814">
        <v>11012.84196889773</v>
      </c>
      <c r="BV54" s="814">
        <v>266</v>
      </c>
      <c r="BW54" s="814">
        <v>2753.2104922244325</v>
      </c>
      <c r="BY54" s="62">
        <v>71550</v>
      </c>
      <c r="BZ54" s="62">
        <v>82274.819549085514</v>
      </c>
      <c r="CA54" s="62">
        <v>4406.9130000000014</v>
      </c>
      <c r="CB54" s="62">
        <v>1681.9172932330825</v>
      </c>
      <c r="CC54" s="62">
        <v>0</v>
      </c>
      <c r="CD54" s="62">
        <v>3047.9999999999968</v>
      </c>
      <c r="CE54" s="62">
        <v>162961.64984231858</v>
      </c>
      <c r="CF54" s="62">
        <v>18.106849982479844</v>
      </c>
      <c r="CH54" s="62">
        <v>154666.84208846695</v>
      </c>
      <c r="CI54" s="62">
        <v>17.185204676496326</v>
      </c>
      <c r="CJ54" s="62">
        <v>0.92164530598351746</v>
      </c>
      <c r="CK54" s="781"/>
      <c r="CL54" s="781"/>
      <c r="CM54" s="781"/>
      <c r="CN54" s="62">
        <v>880795.2996914793</v>
      </c>
      <c r="CV54" s="62">
        <v>660585.19352553249</v>
      </c>
      <c r="CW54" s="62">
        <v>0</v>
      </c>
      <c r="CX54" s="62">
        <v>0</v>
      </c>
      <c r="CZ54" s="62">
        <v>407.25836431226685</v>
      </c>
      <c r="DA54" s="62">
        <v>7873.9527881040804</v>
      </c>
      <c r="DB54" s="62">
        <v>14272.661710037199</v>
      </c>
      <c r="DC54" s="62">
        <v>18480.466171003762</v>
      </c>
      <c r="DD54" s="62">
        <v>63051.584386617025</v>
      </c>
      <c r="DE54" s="62">
        <v>5435.481412639394</v>
      </c>
      <c r="DN54" s="62">
        <v>19713.621534984402</v>
      </c>
      <c r="DO54" s="62">
        <v>0</v>
      </c>
      <c r="DP54" s="62">
        <v>0</v>
      </c>
      <c r="DR54" s="62">
        <v>660585.19352553249</v>
      </c>
      <c r="DS54" s="62">
        <v>0</v>
      </c>
      <c r="DT54" s="62">
        <v>0</v>
      </c>
      <c r="DV54" s="62">
        <v>680298.81506051694</v>
      </c>
      <c r="DW54" s="62">
        <v>0</v>
      </c>
      <c r="DX54" s="62">
        <v>0</v>
      </c>
      <c r="DZ54" s="62">
        <v>34171.668032713817</v>
      </c>
      <c r="EB54" s="62">
        <v>1029732.8892591776</v>
      </c>
      <c r="EC54" s="62">
        <v>270</v>
      </c>
      <c r="ED54" s="62">
        <v>3813.8255157747317</v>
      </c>
      <c r="EE54" s="62">
        <v>1029336.9863306461</v>
      </c>
      <c r="EF54" s="62">
        <v>266</v>
      </c>
      <c r="EG54" s="62">
        <v>3869.6879185362636</v>
      </c>
      <c r="EI54" s="62">
        <v>-55.862402761531939</v>
      </c>
      <c r="EJ54" s="62">
        <v>395.90292853151914</v>
      </c>
      <c r="EK54" s="62" t="s">
        <v>681</v>
      </c>
      <c r="EL54" s="789">
        <v>3.8461935574939717E-4</v>
      </c>
      <c r="EO54" s="62">
        <v>19713.621534984402</v>
      </c>
      <c r="ER54" s="62">
        <v>660585.19352553249</v>
      </c>
      <c r="ET54" s="62">
        <v>-73.013413092534819</v>
      </c>
      <c r="EX54" s="62">
        <v>1029732.8877241932</v>
      </c>
      <c r="EY54" s="62">
        <v>1014966.9677241931</v>
      </c>
      <c r="FA54" s="62">
        <v>1034680.5892591776</v>
      </c>
    </row>
    <row r="55" spans="1:157" x14ac:dyDescent="0.2">
      <c r="A55" s="241" t="s">
        <v>43</v>
      </c>
      <c r="B55" s="793">
        <v>2471</v>
      </c>
      <c r="C55" s="241">
        <v>346</v>
      </c>
      <c r="D55" s="241">
        <v>0</v>
      </c>
      <c r="E55" s="241">
        <v>0</v>
      </c>
      <c r="F55" s="241">
        <v>346</v>
      </c>
      <c r="G55" s="241">
        <v>0</v>
      </c>
      <c r="H55" s="241">
        <v>0</v>
      </c>
      <c r="I55" s="241">
        <v>0</v>
      </c>
      <c r="J55" s="241">
        <v>346</v>
      </c>
      <c r="K55" s="241">
        <v>0</v>
      </c>
      <c r="L55" s="241">
        <v>0</v>
      </c>
      <c r="M55" s="241">
        <v>346</v>
      </c>
      <c r="N55" s="62">
        <v>846527.69244383054</v>
      </c>
      <c r="O55" s="241"/>
      <c r="P55" s="241">
        <v>141.8254</v>
      </c>
      <c r="Q55" s="241">
        <v>8.9999999999999929</v>
      </c>
      <c r="R55" s="241">
        <v>21.999999999999989</v>
      </c>
      <c r="S55" s="241">
        <v>52.999999999999972</v>
      </c>
      <c r="T55" s="241">
        <v>48.000000000000014</v>
      </c>
      <c r="U55" s="241">
        <v>72.000000000000028</v>
      </c>
      <c r="V55" s="241">
        <v>4.9999999999999929</v>
      </c>
      <c r="W55" s="241">
        <v>350.82540000000006</v>
      </c>
      <c r="X55" s="241"/>
      <c r="Y55" s="241"/>
      <c r="Z55" s="241">
        <v>152701.98992600001</v>
      </c>
      <c r="AA55" s="241"/>
      <c r="AB55" s="794">
        <v>138091.14000000001</v>
      </c>
      <c r="AC55" s="794"/>
      <c r="AD55" s="795">
        <v>290793.12992600002</v>
      </c>
      <c r="AE55" s="241">
        <v>2.0116279069767442</v>
      </c>
      <c r="AF55" s="120">
        <v>3333.2674418604652</v>
      </c>
      <c r="AG55" s="120">
        <v>0</v>
      </c>
      <c r="AH55" s="795">
        <v>0</v>
      </c>
      <c r="AI55" s="120">
        <v>2.9999999999999991</v>
      </c>
      <c r="AJ55" s="120">
        <v>0</v>
      </c>
      <c r="AK55" s="120">
        <v>2798.0399999999991</v>
      </c>
      <c r="AL55" s="120">
        <v>0</v>
      </c>
      <c r="AM55" s="795">
        <v>2798.0399999999991</v>
      </c>
      <c r="AN55" s="120">
        <v>20.999999999999996</v>
      </c>
      <c r="AO55" s="120">
        <v>0</v>
      </c>
      <c r="AP55" s="795">
        <v>16001.999999999998</v>
      </c>
      <c r="AQ55" s="795">
        <v>0</v>
      </c>
      <c r="AR55" s="795">
        <v>16001.999999999998</v>
      </c>
      <c r="AS55" s="795">
        <v>100000</v>
      </c>
      <c r="AT55" s="120">
        <v>0</v>
      </c>
      <c r="AU55" s="120">
        <v>14765.92</v>
      </c>
      <c r="AV55" s="120">
        <v>0</v>
      </c>
      <c r="AW55" s="120">
        <v>1274220.049811691</v>
      </c>
      <c r="AY55" s="120">
        <v>1226.3806738136336</v>
      </c>
      <c r="AZ55" s="120">
        <v>0</v>
      </c>
      <c r="BA55" s="120">
        <v>25262.640930017049</v>
      </c>
      <c r="BB55" s="120">
        <v>25262.639999999999</v>
      </c>
      <c r="BC55" s="821">
        <v>1300709.0714155217</v>
      </c>
      <c r="BD55" s="808">
        <v>-25262.640930017049</v>
      </c>
      <c r="BE55" s="808">
        <v>0</v>
      </c>
      <c r="BG55" s="808">
        <v>0</v>
      </c>
      <c r="BI55" s="808">
        <v>-2503</v>
      </c>
      <c r="BM55" s="821">
        <v>0</v>
      </c>
      <c r="BN55" s="821"/>
      <c r="BP55" s="808">
        <v>1272943.4304855047</v>
      </c>
      <c r="BQ55" s="808">
        <v>346</v>
      </c>
      <c r="BR55" s="814">
        <v>344</v>
      </c>
      <c r="BS55" s="814">
        <v>2</v>
      </c>
      <c r="BT55" s="814">
        <v>1287663.1104470149</v>
      </c>
      <c r="BU55" s="814">
        <v>-14719.679961510235</v>
      </c>
      <c r="BV55" s="814">
        <v>344</v>
      </c>
      <c r="BW55" s="814">
        <v>-7359.8399807551177</v>
      </c>
      <c r="BY55" s="62">
        <v>91690</v>
      </c>
      <c r="BZ55" s="62">
        <v>116317.25197040002</v>
      </c>
      <c r="CA55" s="62">
        <v>1259.1179999999997</v>
      </c>
      <c r="CB55" s="62">
        <v>3333.2674418604652</v>
      </c>
      <c r="CC55" s="62">
        <v>0</v>
      </c>
      <c r="CD55" s="62">
        <v>16001.999999999998</v>
      </c>
      <c r="CE55" s="62">
        <v>228601.63741226046</v>
      </c>
      <c r="CF55" s="62">
        <v>25.400181934695606</v>
      </c>
      <c r="CH55" s="62">
        <v>187274.26951246316</v>
      </c>
      <c r="CI55" s="62">
        <v>20.80825216805146</v>
      </c>
      <c r="CJ55" s="62">
        <v>4.5919297666441459</v>
      </c>
      <c r="CK55" s="781"/>
      <c r="CL55" s="781"/>
      <c r="CM55" s="781"/>
      <c r="CN55" s="62">
        <v>1159454.1298116911</v>
      </c>
      <c r="CV55" s="62">
        <v>846527.69244383054</v>
      </c>
      <c r="CW55" s="62">
        <v>0</v>
      </c>
      <c r="CX55" s="62">
        <v>0</v>
      </c>
      <c r="CZ55" s="62">
        <v>1217.2499999999991</v>
      </c>
      <c r="DA55" s="62">
        <v>5951.2199999999966</v>
      </c>
      <c r="DB55" s="62">
        <v>21532.839999999986</v>
      </c>
      <c r="DC55" s="62">
        <v>25993.440000000006</v>
      </c>
      <c r="DD55" s="62">
        <v>77981.040000000023</v>
      </c>
      <c r="DE55" s="62">
        <v>5415.3499999999922</v>
      </c>
      <c r="DN55" s="62">
        <v>25262.640930017049</v>
      </c>
      <c r="DO55" s="62">
        <v>0</v>
      </c>
      <c r="DP55" s="62">
        <v>0</v>
      </c>
      <c r="DR55" s="62">
        <v>846527.69244383054</v>
      </c>
      <c r="DS55" s="62">
        <v>0</v>
      </c>
      <c r="DT55" s="62">
        <v>0</v>
      </c>
      <c r="DV55" s="62">
        <v>871790.33337384765</v>
      </c>
      <c r="DW55" s="62">
        <v>0</v>
      </c>
      <c r="DX55" s="62">
        <v>0</v>
      </c>
      <c r="DZ55" s="62">
        <v>1226.3806738136336</v>
      </c>
      <c r="EB55" s="62">
        <v>1275446.4314155218</v>
      </c>
      <c r="EC55" s="62">
        <v>346</v>
      </c>
      <c r="ED55" s="62">
        <v>3686.2613624726064</v>
      </c>
      <c r="EE55" s="62">
        <v>1275525.5845061974</v>
      </c>
      <c r="EF55" s="62">
        <v>341</v>
      </c>
      <c r="EG55" s="62">
        <v>3740.5442360885554</v>
      </c>
      <c r="EI55" s="62">
        <v>-54.282873615949029</v>
      </c>
      <c r="EJ55" s="62">
        <v>-79.153090675594285</v>
      </c>
      <c r="EK55" s="62" t="s">
        <v>616</v>
      </c>
      <c r="EL55" s="789">
        <v>-6.2055274811471025E-5</v>
      </c>
      <c r="EO55" s="62">
        <v>25262.640930017049</v>
      </c>
      <c r="ER55" s="62">
        <v>846527.69244383066</v>
      </c>
      <c r="ET55" s="62">
        <v>-73.013413092534819</v>
      </c>
      <c r="EX55" s="62">
        <v>1275446.4304855047</v>
      </c>
      <c r="EY55" s="62">
        <v>1260680.5104855048</v>
      </c>
      <c r="FA55" s="62">
        <v>1285943.1514155217</v>
      </c>
    </row>
    <row r="56" spans="1:157" x14ac:dyDescent="0.2">
      <c r="A56" s="241" t="s">
        <v>44</v>
      </c>
      <c r="B56" s="793">
        <v>2420</v>
      </c>
      <c r="C56" s="241">
        <v>455</v>
      </c>
      <c r="D56" s="241">
        <v>0</v>
      </c>
      <c r="E56" s="241">
        <v>0</v>
      </c>
      <c r="F56" s="241">
        <v>455</v>
      </c>
      <c r="G56" s="241">
        <v>0</v>
      </c>
      <c r="H56" s="241">
        <v>0</v>
      </c>
      <c r="I56" s="241">
        <v>0</v>
      </c>
      <c r="J56" s="241">
        <v>455</v>
      </c>
      <c r="K56" s="241">
        <v>0</v>
      </c>
      <c r="L56" s="241">
        <v>0</v>
      </c>
      <c r="M56" s="241">
        <v>455</v>
      </c>
      <c r="N56" s="62">
        <v>1113208.3816819158</v>
      </c>
      <c r="O56" s="241"/>
      <c r="P56" s="241">
        <v>300.98250000000002</v>
      </c>
      <c r="Q56" s="241">
        <v>0</v>
      </c>
      <c r="R56" s="241">
        <v>2.0000000000000018</v>
      </c>
      <c r="S56" s="241">
        <v>41.999999999999993</v>
      </c>
      <c r="T56" s="241">
        <v>37.999999999999993</v>
      </c>
      <c r="U56" s="241">
        <v>72.999999999999801</v>
      </c>
      <c r="V56" s="241">
        <v>296.00000000000023</v>
      </c>
      <c r="W56" s="241">
        <v>751.98250000000007</v>
      </c>
      <c r="X56" s="241"/>
      <c r="Y56" s="241"/>
      <c r="Z56" s="241">
        <v>324064.84792500001</v>
      </c>
      <c r="AA56" s="241"/>
      <c r="AB56" s="794">
        <v>437835.75</v>
      </c>
      <c r="AC56" s="794"/>
      <c r="AD56" s="795">
        <v>761900.59792500001</v>
      </c>
      <c r="AE56" s="241">
        <v>0</v>
      </c>
      <c r="AF56" s="120">
        <v>0</v>
      </c>
      <c r="AG56" s="120">
        <v>0</v>
      </c>
      <c r="AH56" s="795">
        <v>0</v>
      </c>
      <c r="AI56" s="120">
        <v>118.9622641509434</v>
      </c>
      <c r="AJ56" s="120">
        <v>0</v>
      </c>
      <c r="AK56" s="120">
        <v>110953.72452830189</v>
      </c>
      <c r="AL56" s="120">
        <v>0</v>
      </c>
      <c r="AM56" s="795">
        <v>110953.72452830189</v>
      </c>
      <c r="AN56" s="120">
        <v>65.000000000000057</v>
      </c>
      <c r="AO56" s="120">
        <v>0</v>
      </c>
      <c r="AP56" s="795">
        <v>49530.000000000044</v>
      </c>
      <c r="AQ56" s="795">
        <v>0</v>
      </c>
      <c r="AR56" s="795">
        <v>49530.000000000044</v>
      </c>
      <c r="AS56" s="795">
        <v>100000</v>
      </c>
      <c r="AT56" s="120">
        <v>0</v>
      </c>
      <c r="AU56" s="120">
        <v>21910.720000000001</v>
      </c>
      <c r="AV56" s="120">
        <v>0</v>
      </c>
      <c r="AW56" s="120">
        <v>2157503.4241352179</v>
      </c>
      <c r="AY56" s="120">
        <v>0</v>
      </c>
      <c r="AZ56" s="120">
        <v>0</v>
      </c>
      <c r="BA56" s="120">
        <v>33221.102957103343</v>
      </c>
      <c r="BB56" s="120">
        <v>33221.1</v>
      </c>
      <c r="BC56" s="821">
        <v>2190724.5270923213</v>
      </c>
      <c r="BD56" s="808">
        <v>-33221.102957103343</v>
      </c>
      <c r="BE56" s="808">
        <v>22302.6</v>
      </c>
      <c r="BG56" s="808">
        <v>22274.020736737439</v>
      </c>
      <c r="BI56" s="808">
        <v>43296</v>
      </c>
      <c r="BM56" s="821">
        <v>192223.69620000001</v>
      </c>
      <c r="BN56" s="821"/>
      <c r="BP56" s="808">
        <v>2437599.7410719558</v>
      </c>
      <c r="BQ56" s="808">
        <v>455</v>
      </c>
      <c r="BR56" s="814">
        <v>390</v>
      </c>
      <c r="BS56" s="814">
        <v>65</v>
      </c>
      <c r="BT56" s="814">
        <v>2087033.6617569695</v>
      </c>
      <c r="BU56" s="814">
        <v>350566.07931498624</v>
      </c>
      <c r="BV56" s="814">
        <v>390</v>
      </c>
      <c r="BW56" s="814">
        <v>5393.3242971536347</v>
      </c>
      <c r="BY56" s="62">
        <v>120575</v>
      </c>
      <c r="BZ56" s="62">
        <v>304760.23917000002</v>
      </c>
      <c r="CA56" s="62">
        <v>49929.176037735851</v>
      </c>
      <c r="CB56" s="62">
        <v>0</v>
      </c>
      <c r="CC56" s="62">
        <v>0</v>
      </c>
      <c r="CD56" s="62">
        <v>49530.000000000044</v>
      </c>
      <c r="CE56" s="62">
        <v>524794.41520773584</v>
      </c>
      <c r="CF56" s="62">
        <v>58.310490578637314</v>
      </c>
      <c r="CH56" s="62">
        <v>481775.27872222121</v>
      </c>
      <c r="CI56" s="62">
        <v>53.530586524691245</v>
      </c>
      <c r="CJ56" s="62">
        <v>4.7799040539460691</v>
      </c>
      <c r="CK56" s="781" t="s">
        <v>615</v>
      </c>
      <c r="CL56" s="781"/>
      <c r="CM56" s="781"/>
      <c r="CN56" s="62">
        <v>2035592.7041352177</v>
      </c>
      <c r="CV56" s="62">
        <v>1113208.3816819158</v>
      </c>
      <c r="CW56" s="62">
        <v>0</v>
      </c>
      <c r="CX56" s="62">
        <v>0</v>
      </c>
      <c r="CZ56" s="62">
        <v>0</v>
      </c>
      <c r="DA56" s="62">
        <v>541.02000000000044</v>
      </c>
      <c r="DB56" s="62">
        <v>17063.759999999995</v>
      </c>
      <c r="DC56" s="62">
        <v>20578.139999999996</v>
      </c>
      <c r="DD56" s="62">
        <v>79064.109999999782</v>
      </c>
      <c r="DE56" s="62">
        <v>320588.7200000002</v>
      </c>
      <c r="DN56" s="62">
        <v>33221.102957103343</v>
      </c>
      <c r="DO56" s="62">
        <v>0</v>
      </c>
      <c r="DP56" s="62">
        <v>0</v>
      </c>
      <c r="DR56" s="62">
        <v>1113208.3816819158</v>
      </c>
      <c r="DS56" s="62">
        <v>0</v>
      </c>
      <c r="DT56" s="62">
        <v>0</v>
      </c>
      <c r="DV56" s="62">
        <v>1146429.4846390192</v>
      </c>
      <c r="DW56" s="62">
        <v>0</v>
      </c>
      <c r="DX56" s="62">
        <v>0</v>
      </c>
      <c r="DZ56" s="62">
        <v>0</v>
      </c>
      <c r="EB56" s="62">
        <v>2157503.4270923212</v>
      </c>
      <c r="EC56" s="62">
        <v>455</v>
      </c>
      <c r="ED56" s="62">
        <v>4741.7657738292774</v>
      </c>
      <c r="EE56" s="62">
        <v>1839429.079691025</v>
      </c>
      <c r="EF56" s="62">
        <v>381</v>
      </c>
      <c r="EG56" s="62">
        <v>4827.8978469580707</v>
      </c>
      <c r="EI56" s="62">
        <v>-86.132073128793309</v>
      </c>
      <c r="EJ56" s="62">
        <v>318074.34740129625</v>
      </c>
      <c r="EK56" s="62" t="s">
        <v>681</v>
      </c>
      <c r="EL56" s="789">
        <v>0.1729201472963145</v>
      </c>
      <c r="EO56" s="62">
        <v>33221.102957103343</v>
      </c>
      <c r="ER56" s="62">
        <v>1113208.3816819158</v>
      </c>
      <c r="ET56" s="62">
        <v>-73.013413092534819</v>
      </c>
      <c r="EX56" s="62">
        <v>2157503.4241352179</v>
      </c>
      <c r="EY56" s="62">
        <v>2135592.7041352177</v>
      </c>
      <c r="FA56" s="62">
        <v>2168813.8070923211</v>
      </c>
    </row>
    <row r="57" spans="1:157" x14ac:dyDescent="0.2">
      <c r="A57" s="241" t="s">
        <v>45</v>
      </c>
      <c r="B57" s="793">
        <v>2003</v>
      </c>
      <c r="C57" s="241">
        <v>213</v>
      </c>
      <c r="D57" s="241">
        <v>0</v>
      </c>
      <c r="E57" s="241">
        <v>0</v>
      </c>
      <c r="F57" s="241">
        <v>213</v>
      </c>
      <c r="G57" s="241">
        <v>0</v>
      </c>
      <c r="H57" s="241">
        <v>0</v>
      </c>
      <c r="I57" s="241">
        <v>0</v>
      </c>
      <c r="J57" s="241">
        <v>213</v>
      </c>
      <c r="K57" s="241">
        <v>0</v>
      </c>
      <c r="L57" s="241">
        <v>0</v>
      </c>
      <c r="M57" s="241">
        <v>213</v>
      </c>
      <c r="N57" s="62">
        <v>521128.31933680893</v>
      </c>
      <c r="O57" s="241"/>
      <c r="P57" s="241">
        <v>14.931299999999998</v>
      </c>
      <c r="Q57" s="241">
        <v>4.0571428571428472</v>
      </c>
      <c r="R57" s="241">
        <v>0</v>
      </c>
      <c r="S57" s="241">
        <v>0</v>
      </c>
      <c r="T57" s="241">
        <v>0</v>
      </c>
      <c r="U57" s="241">
        <v>0</v>
      </c>
      <c r="V57" s="241">
        <v>0</v>
      </c>
      <c r="W57" s="241">
        <v>18.988442857142847</v>
      </c>
      <c r="X57" s="241"/>
      <c r="Y57" s="241"/>
      <c r="Z57" s="241">
        <v>16076.381396999999</v>
      </c>
      <c r="AA57" s="241"/>
      <c r="AB57" s="794">
        <v>548.72857142857004</v>
      </c>
      <c r="AC57" s="794"/>
      <c r="AD57" s="795">
        <v>16625.109968428569</v>
      </c>
      <c r="AE57" s="241">
        <v>0.99532710280373826</v>
      </c>
      <c r="AF57" s="120">
        <v>1649.2570093457944</v>
      </c>
      <c r="AG57" s="120">
        <v>0</v>
      </c>
      <c r="AH57" s="795">
        <v>0</v>
      </c>
      <c r="AI57" s="120">
        <v>2.3278688524590208</v>
      </c>
      <c r="AJ57" s="120">
        <v>0</v>
      </c>
      <c r="AK57" s="120">
        <v>2171.1567213114795</v>
      </c>
      <c r="AL57" s="120">
        <v>0</v>
      </c>
      <c r="AM57" s="795">
        <v>2171.1567213114795</v>
      </c>
      <c r="AN57" s="120">
        <v>2.9999999999999956</v>
      </c>
      <c r="AO57" s="120">
        <v>0</v>
      </c>
      <c r="AP57" s="795">
        <v>2285.9999999999968</v>
      </c>
      <c r="AQ57" s="795">
        <v>0</v>
      </c>
      <c r="AR57" s="795">
        <v>2285.9999999999968</v>
      </c>
      <c r="AS57" s="795">
        <v>100000</v>
      </c>
      <c r="AT57" s="120">
        <v>0</v>
      </c>
      <c r="AU57" s="120">
        <v>27388.400000000001</v>
      </c>
      <c r="AV57" s="120">
        <v>0</v>
      </c>
      <c r="AW57" s="120">
        <v>671248.24303589482</v>
      </c>
      <c r="AY57" s="120">
        <v>5223.4712271742756</v>
      </c>
      <c r="AZ57" s="120">
        <v>0</v>
      </c>
      <c r="BA57" s="120">
        <v>15551.856988709917</v>
      </c>
      <c r="BB57" s="120">
        <v>15551.86</v>
      </c>
      <c r="BC57" s="821">
        <v>692023.57125177898</v>
      </c>
      <c r="BD57" s="808">
        <v>-15551.856988709917</v>
      </c>
      <c r="BE57" s="808">
        <v>11151.3</v>
      </c>
      <c r="BG57" s="808">
        <v>10511.335628572724</v>
      </c>
      <c r="BI57" s="808">
        <v>15142</v>
      </c>
      <c r="BM57" s="821">
        <v>106128.924</v>
      </c>
      <c r="BN57" s="821"/>
      <c r="BP57" s="808">
        <v>819405.27389164187</v>
      </c>
      <c r="BQ57" s="808">
        <v>213</v>
      </c>
      <c r="BR57" s="814">
        <v>214</v>
      </c>
      <c r="BS57" s="814">
        <v>-1</v>
      </c>
      <c r="BT57" s="814">
        <v>805424.48836830107</v>
      </c>
      <c r="BU57" s="814">
        <v>13980.785523340805</v>
      </c>
      <c r="BV57" s="814">
        <v>214</v>
      </c>
      <c r="BW57" s="814">
        <v>-13980.785523340805</v>
      </c>
      <c r="BY57" s="62">
        <v>56445</v>
      </c>
      <c r="BZ57" s="62">
        <v>6650.0439873714276</v>
      </c>
      <c r="CA57" s="62">
        <v>977.02052459016579</v>
      </c>
      <c r="CB57" s="62">
        <v>1649.2570093457944</v>
      </c>
      <c r="CC57" s="62">
        <v>0</v>
      </c>
      <c r="CD57" s="62">
        <v>2285.9999999999968</v>
      </c>
      <c r="CE57" s="62">
        <v>68007.321521307385</v>
      </c>
      <c r="CF57" s="62">
        <v>7.5563690579230425</v>
      </c>
      <c r="CH57" s="62">
        <v>35745.241131790783</v>
      </c>
      <c r="CI57" s="62">
        <v>3.9716934590878648</v>
      </c>
      <c r="CJ57" s="62">
        <v>3.5846755988351777</v>
      </c>
      <c r="CK57" s="781"/>
      <c r="CL57" s="781"/>
      <c r="CM57" s="781"/>
      <c r="CN57" s="62">
        <v>543859.8430358948</v>
      </c>
      <c r="CV57" s="62">
        <v>521128.31933680893</v>
      </c>
      <c r="CW57" s="62">
        <v>0</v>
      </c>
      <c r="CX57" s="62">
        <v>0</v>
      </c>
      <c r="CZ57" s="62">
        <v>548.72857142857004</v>
      </c>
      <c r="DA57" s="62">
        <v>0</v>
      </c>
      <c r="DB57" s="62">
        <v>0</v>
      </c>
      <c r="DC57" s="62">
        <v>0</v>
      </c>
      <c r="DD57" s="62">
        <v>0</v>
      </c>
      <c r="DE57" s="62">
        <v>0</v>
      </c>
      <c r="DN57" s="62">
        <v>15551.856988709917</v>
      </c>
      <c r="DO57" s="62">
        <v>0</v>
      </c>
      <c r="DP57" s="62">
        <v>0</v>
      </c>
      <c r="DR57" s="62">
        <v>521128.31933680893</v>
      </c>
      <c r="DS57" s="62">
        <v>0</v>
      </c>
      <c r="DT57" s="62">
        <v>0</v>
      </c>
      <c r="DV57" s="62">
        <v>536680.17632551887</v>
      </c>
      <c r="DW57" s="62">
        <v>0</v>
      </c>
      <c r="DX57" s="62">
        <v>0</v>
      </c>
      <c r="DZ57" s="62">
        <v>5223.4712271742756</v>
      </c>
      <c r="EB57" s="62">
        <v>676471.71125177899</v>
      </c>
      <c r="EC57" s="62">
        <v>213</v>
      </c>
      <c r="ED57" s="62">
        <v>3175.9235270036575</v>
      </c>
      <c r="EE57" s="62">
        <v>681162.87647468201</v>
      </c>
      <c r="EF57" s="62">
        <v>212</v>
      </c>
      <c r="EG57" s="62">
        <v>3213.0324362013303</v>
      </c>
      <c r="EI57" s="62">
        <v>-37.108909197672801</v>
      </c>
      <c r="EJ57" s="62">
        <v>-4691.1652229030151</v>
      </c>
      <c r="EK57" s="62" t="s">
        <v>616</v>
      </c>
      <c r="EL57" s="789">
        <v>-6.8869948508965464E-3</v>
      </c>
      <c r="EO57" s="62">
        <v>15551.856988709917</v>
      </c>
      <c r="ER57" s="62">
        <v>521128.31933680893</v>
      </c>
      <c r="ET57" s="62">
        <v>-73.013413092534819</v>
      </c>
      <c r="EX57" s="62">
        <v>676471.71426306909</v>
      </c>
      <c r="EY57" s="62">
        <v>649083.31426306907</v>
      </c>
      <c r="FA57" s="62">
        <v>664635.17125177896</v>
      </c>
    </row>
    <row r="58" spans="1:157" x14ac:dyDescent="0.2">
      <c r="A58" s="241" t="s">
        <v>46</v>
      </c>
      <c r="B58" s="793">
        <v>2423</v>
      </c>
      <c r="C58" s="241">
        <v>359</v>
      </c>
      <c r="D58" s="241">
        <v>0</v>
      </c>
      <c r="E58" s="241">
        <v>0</v>
      </c>
      <c r="F58" s="241">
        <v>359</v>
      </c>
      <c r="G58" s="241">
        <v>0</v>
      </c>
      <c r="H58" s="241">
        <v>0</v>
      </c>
      <c r="I58" s="241">
        <v>0</v>
      </c>
      <c r="J58" s="241">
        <v>359</v>
      </c>
      <c r="K58" s="241">
        <v>0</v>
      </c>
      <c r="L58" s="241">
        <v>0</v>
      </c>
      <c r="M58" s="241">
        <v>359</v>
      </c>
      <c r="N58" s="62">
        <v>878333.6462061709</v>
      </c>
      <c r="O58" s="241"/>
      <c r="P58" s="241">
        <v>171.6379</v>
      </c>
      <c r="Q58" s="241">
        <v>2.0112044817927157</v>
      </c>
      <c r="R58" s="241">
        <v>16.089635854341719</v>
      </c>
      <c r="S58" s="241">
        <v>149.8347338935576</v>
      </c>
      <c r="T58" s="241">
        <v>108.60504201680659</v>
      </c>
      <c r="U58" s="241">
        <v>50.280112044818075</v>
      </c>
      <c r="V58" s="241">
        <v>26.145658263305332</v>
      </c>
      <c r="W58" s="241">
        <v>524.60428655462192</v>
      </c>
      <c r="X58" s="241"/>
      <c r="Y58" s="241"/>
      <c r="Z58" s="241">
        <v>184800.810551</v>
      </c>
      <c r="AA58" s="241"/>
      <c r="AB58" s="794">
        <v>207086.62593837551</v>
      </c>
      <c r="AC58" s="794"/>
      <c r="AD58" s="795">
        <v>391887.43648937554</v>
      </c>
      <c r="AE58" s="241">
        <v>2.0932944606413995</v>
      </c>
      <c r="AF58" s="120">
        <v>3468.5889212827988</v>
      </c>
      <c r="AG58" s="120">
        <v>0</v>
      </c>
      <c r="AH58" s="795">
        <v>0</v>
      </c>
      <c r="AI58" s="120">
        <v>161.99999999999986</v>
      </c>
      <c r="AJ58" s="120">
        <v>0</v>
      </c>
      <c r="AK58" s="120">
        <v>151094.15999999986</v>
      </c>
      <c r="AL58" s="120">
        <v>0</v>
      </c>
      <c r="AM58" s="795">
        <v>151094.15999999986</v>
      </c>
      <c r="AN58" s="120">
        <v>73.999999999999872</v>
      </c>
      <c r="AO58" s="120">
        <v>0</v>
      </c>
      <c r="AP58" s="795">
        <v>56387.999999999905</v>
      </c>
      <c r="AQ58" s="795">
        <v>0</v>
      </c>
      <c r="AR58" s="795">
        <v>56387.999999999905</v>
      </c>
      <c r="AS58" s="795">
        <v>100000</v>
      </c>
      <c r="AT58" s="120">
        <v>0</v>
      </c>
      <c r="AU58" s="120">
        <v>12027.08</v>
      </c>
      <c r="AV58" s="120">
        <v>0</v>
      </c>
      <c r="AW58" s="120">
        <v>1593198.911616829</v>
      </c>
      <c r="AY58" s="120">
        <v>148049.88145425171</v>
      </c>
      <c r="AZ58" s="120">
        <v>0</v>
      </c>
      <c r="BA58" s="120">
        <v>26211.815300220002</v>
      </c>
      <c r="BB58" s="120">
        <v>26211.82</v>
      </c>
      <c r="BC58" s="821">
        <v>1767460.6083713011</v>
      </c>
      <c r="BD58" s="808">
        <v>-26211.815300220002</v>
      </c>
      <c r="BE58" s="808">
        <v>0</v>
      </c>
      <c r="BG58" s="808">
        <v>0</v>
      </c>
      <c r="BM58" s="821">
        <v>0</v>
      </c>
      <c r="BN58" s="821"/>
      <c r="BP58" s="808">
        <v>1741248.7930710812</v>
      </c>
      <c r="BQ58" s="808">
        <v>359</v>
      </c>
      <c r="BR58" s="814">
        <v>343</v>
      </c>
      <c r="BS58" s="814">
        <v>16</v>
      </c>
      <c r="BT58" s="814">
        <v>1555513.4539662376</v>
      </c>
      <c r="BU58" s="814">
        <v>185735.33910484309</v>
      </c>
      <c r="BV58" s="814">
        <v>343</v>
      </c>
      <c r="BW58" s="814">
        <v>11608.458694052693</v>
      </c>
      <c r="BY58" s="62">
        <v>95135</v>
      </c>
      <c r="BZ58" s="62">
        <v>156754.97459575022</v>
      </c>
      <c r="CA58" s="62">
        <v>67992.371999999945</v>
      </c>
      <c r="CB58" s="62">
        <v>3468.5889212827988</v>
      </c>
      <c r="CC58" s="62">
        <v>0</v>
      </c>
      <c r="CD58" s="62">
        <v>56387.999999999905</v>
      </c>
      <c r="CE58" s="62">
        <v>379738.93551703286</v>
      </c>
      <c r="CF58" s="62">
        <v>42.193215057448093</v>
      </c>
      <c r="CH58" s="62">
        <v>319172.50292549731</v>
      </c>
      <c r="CI58" s="62">
        <v>35.463611436166367</v>
      </c>
      <c r="CJ58" s="62">
        <v>6.7296036212817256</v>
      </c>
      <c r="CK58" s="781"/>
      <c r="CL58" s="781"/>
      <c r="CM58" s="781"/>
      <c r="CN58" s="62">
        <v>1481171.8316168294</v>
      </c>
      <c r="CV58" s="62">
        <v>878333.6462061709</v>
      </c>
      <c r="CW58" s="62">
        <v>0</v>
      </c>
      <c r="CX58" s="62">
        <v>0</v>
      </c>
      <c r="CZ58" s="62">
        <v>272.01540616246479</v>
      </c>
      <c r="DA58" s="62">
        <v>4352.4073949579779</v>
      </c>
      <c r="DB58" s="62">
        <v>60874.855686274575</v>
      </c>
      <c r="DC58" s="62">
        <v>58812.88840336127</v>
      </c>
      <c r="DD58" s="62">
        <v>54456.880952381107</v>
      </c>
      <c r="DE58" s="62">
        <v>28317.578095238103</v>
      </c>
      <c r="DN58" s="62">
        <v>26211.815300220002</v>
      </c>
      <c r="DO58" s="62">
        <v>0</v>
      </c>
      <c r="DP58" s="62">
        <v>0</v>
      </c>
      <c r="DR58" s="62">
        <v>878333.6462061709</v>
      </c>
      <c r="DS58" s="62">
        <v>0</v>
      </c>
      <c r="DT58" s="62">
        <v>0</v>
      </c>
      <c r="DV58" s="62">
        <v>904545.46150639094</v>
      </c>
      <c r="DW58" s="62">
        <v>0</v>
      </c>
      <c r="DX58" s="62">
        <v>0</v>
      </c>
      <c r="DZ58" s="62">
        <v>148049.88145425171</v>
      </c>
      <c r="EB58" s="62">
        <v>1741248.7883713006</v>
      </c>
      <c r="EC58" s="62">
        <v>359</v>
      </c>
      <c r="ED58" s="62">
        <v>4850.275176521729</v>
      </c>
      <c r="EE58" s="62">
        <v>1558266.7550070537</v>
      </c>
      <c r="EF58" s="62">
        <v>314</v>
      </c>
      <c r="EG58" s="62">
        <v>4962.6329777294704</v>
      </c>
      <c r="EI58" s="62">
        <v>-112.35780120774143</v>
      </c>
      <c r="EJ58" s="62">
        <v>182982.03336424683</v>
      </c>
      <c r="EK58" s="62" t="s">
        <v>681</v>
      </c>
      <c r="EL58" s="789">
        <v>0.11742664263117038</v>
      </c>
      <c r="EM58" s="701"/>
      <c r="EO58" s="62">
        <v>26211.815300220002</v>
      </c>
      <c r="ER58" s="62">
        <v>878333.6462061709</v>
      </c>
      <c r="ET58" s="62">
        <v>-73.013413092534819</v>
      </c>
      <c r="EX58" s="62">
        <v>1741248.7930710807</v>
      </c>
      <c r="EY58" s="62">
        <v>1729221.7130710806</v>
      </c>
      <c r="FA58" s="62">
        <v>1755433.5283713005</v>
      </c>
    </row>
    <row r="59" spans="1:157" x14ac:dyDescent="0.2">
      <c r="A59" s="241" t="s">
        <v>47</v>
      </c>
      <c r="B59" s="793">
        <v>2424</v>
      </c>
      <c r="C59" s="241">
        <v>268</v>
      </c>
      <c r="D59" s="241">
        <v>0</v>
      </c>
      <c r="E59" s="241">
        <v>0</v>
      </c>
      <c r="F59" s="241">
        <v>268</v>
      </c>
      <c r="G59" s="241">
        <v>0</v>
      </c>
      <c r="H59" s="241">
        <v>0</v>
      </c>
      <c r="I59" s="241">
        <v>0</v>
      </c>
      <c r="J59" s="241">
        <v>268</v>
      </c>
      <c r="K59" s="241">
        <v>0</v>
      </c>
      <c r="L59" s="241">
        <v>0</v>
      </c>
      <c r="M59" s="241">
        <v>268</v>
      </c>
      <c r="N59" s="62">
        <v>655691.9698697878</v>
      </c>
      <c r="O59" s="241"/>
      <c r="P59" s="241">
        <v>101.00919999999999</v>
      </c>
      <c r="Q59" s="241">
        <v>1</v>
      </c>
      <c r="R59" s="241">
        <v>1</v>
      </c>
      <c r="S59" s="241">
        <v>100</v>
      </c>
      <c r="T59" s="241">
        <v>109.00000000000006</v>
      </c>
      <c r="U59" s="241">
        <v>37.999999999999893</v>
      </c>
      <c r="V59" s="241">
        <v>10.000000000000002</v>
      </c>
      <c r="W59" s="241">
        <v>360.00919999999996</v>
      </c>
      <c r="X59" s="241"/>
      <c r="Y59" s="241"/>
      <c r="Z59" s="241">
        <v>108755.595548</v>
      </c>
      <c r="AA59" s="241"/>
      <c r="AB59" s="794">
        <v>152047.88999999993</v>
      </c>
      <c r="AC59" s="794"/>
      <c r="AD59" s="795">
        <v>260803.48554799991</v>
      </c>
      <c r="AE59" s="241">
        <v>0</v>
      </c>
      <c r="AF59" s="120">
        <v>0</v>
      </c>
      <c r="AG59" s="120">
        <v>0</v>
      </c>
      <c r="AH59" s="795">
        <v>0</v>
      </c>
      <c r="AI59" s="120">
        <v>187.15083798882691</v>
      </c>
      <c r="AJ59" s="120">
        <v>0</v>
      </c>
      <c r="AK59" s="120">
        <v>174551.84357541907</v>
      </c>
      <c r="AL59" s="120">
        <v>0</v>
      </c>
      <c r="AM59" s="795">
        <v>174551.84357541907</v>
      </c>
      <c r="AN59" s="120">
        <v>28.000000000000131</v>
      </c>
      <c r="AO59" s="120">
        <v>0</v>
      </c>
      <c r="AP59" s="795">
        <v>21336.000000000102</v>
      </c>
      <c r="AQ59" s="795">
        <v>0</v>
      </c>
      <c r="AR59" s="795">
        <v>21336.000000000102</v>
      </c>
      <c r="AS59" s="795">
        <v>100000</v>
      </c>
      <c r="AT59" s="120">
        <v>0</v>
      </c>
      <c r="AU59" s="120">
        <v>12027.08</v>
      </c>
      <c r="AV59" s="120">
        <v>0</v>
      </c>
      <c r="AW59" s="120">
        <v>1224410.3789932069</v>
      </c>
      <c r="AY59" s="120">
        <v>149891.68876380916</v>
      </c>
      <c r="AZ59" s="120">
        <v>0</v>
      </c>
      <c r="BA59" s="120">
        <v>19567.59470879933</v>
      </c>
      <c r="BB59" s="120">
        <v>19567.59</v>
      </c>
      <c r="BC59" s="821">
        <v>1393869.6624658154</v>
      </c>
      <c r="BD59" s="808">
        <v>-19567.59470879933</v>
      </c>
      <c r="BE59" s="808">
        <v>33453.899999999994</v>
      </c>
      <c r="BG59" s="808">
        <v>0</v>
      </c>
      <c r="BI59" s="808">
        <v>5381</v>
      </c>
      <c r="BM59" s="821">
        <v>0</v>
      </c>
      <c r="BN59" s="821"/>
      <c r="BP59" s="808">
        <v>1413136.967757016</v>
      </c>
      <c r="BQ59" s="808">
        <v>268</v>
      </c>
      <c r="BR59" s="814">
        <v>268</v>
      </c>
      <c r="BS59" s="814">
        <v>0</v>
      </c>
      <c r="BT59" s="814">
        <v>1418467.7617686668</v>
      </c>
      <c r="BU59" s="814">
        <v>-5330.7940116508398</v>
      </c>
      <c r="BV59" s="814">
        <v>268</v>
      </c>
      <c r="BW59" s="814" t="e">
        <v>#DIV/0!</v>
      </c>
      <c r="BY59" s="62">
        <v>71020</v>
      </c>
      <c r="BZ59" s="62">
        <v>104321.39421919997</v>
      </c>
      <c r="CA59" s="62">
        <v>78548.329608938584</v>
      </c>
      <c r="CB59" s="62">
        <v>0</v>
      </c>
      <c r="CC59" s="62">
        <v>0</v>
      </c>
      <c r="CD59" s="62">
        <v>21336.000000000102</v>
      </c>
      <c r="CE59" s="62">
        <v>275225.72382813867</v>
      </c>
      <c r="CF59" s="62">
        <v>30.580635980904297</v>
      </c>
      <c r="CH59" s="62">
        <v>223447.42915241775</v>
      </c>
      <c r="CI59" s="62">
        <v>24.827492128046416</v>
      </c>
      <c r="CJ59" s="62">
        <v>5.7531438528578818</v>
      </c>
      <c r="CK59" s="781"/>
      <c r="CL59" s="781"/>
      <c r="CM59" s="781"/>
      <c r="CN59" s="62">
        <v>1112383.2989932068</v>
      </c>
      <c r="CV59" s="62">
        <v>655691.9698697878</v>
      </c>
      <c r="CW59" s="62">
        <v>0</v>
      </c>
      <c r="CX59" s="62">
        <v>0</v>
      </c>
      <c r="CZ59" s="62">
        <v>135.25</v>
      </c>
      <c r="DA59" s="62">
        <v>270.51</v>
      </c>
      <c r="DB59" s="62">
        <v>40628</v>
      </c>
      <c r="DC59" s="62">
        <v>59026.770000000026</v>
      </c>
      <c r="DD59" s="62">
        <v>41156.65999999988</v>
      </c>
      <c r="DE59" s="62">
        <v>10830.7</v>
      </c>
      <c r="DN59" s="62">
        <v>19567.59470879933</v>
      </c>
      <c r="DO59" s="62">
        <v>0</v>
      </c>
      <c r="DP59" s="62">
        <v>0</v>
      </c>
      <c r="DR59" s="62">
        <v>655691.9698697878</v>
      </c>
      <c r="DS59" s="62">
        <v>0</v>
      </c>
      <c r="DT59" s="62">
        <v>0</v>
      </c>
      <c r="DV59" s="62">
        <v>675259.56457858719</v>
      </c>
      <c r="DW59" s="62">
        <v>0</v>
      </c>
      <c r="DX59" s="62">
        <v>0</v>
      </c>
      <c r="DZ59" s="62">
        <v>149891.68876380916</v>
      </c>
      <c r="EB59" s="62">
        <v>1374302.0724658153</v>
      </c>
      <c r="EC59" s="62">
        <v>268</v>
      </c>
      <c r="ED59" s="62">
        <v>5127.9928077082659</v>
      </c>
      <c r="EE59" s="62">
        <v>1373935.1218950383</v>
      </c>
      <c r="EF59" s="62">
        <v>264</v>
      </c>
      <c r="EG59" s="62">
        <v>5204.299704147872</v>
      </c>
      <c r="EI59" s="62">
        <v>-76.306896439606135</v>
      </c>
      <c r="EJ59" s="62">
        <v>366.9505707770586</v>
      </c>
      <c r="EK59" s="62" t="s">
        <v>681</v>
      </c>
      <c r="EL59" s="789">
        <v>2.6707998429425969E-4</v>
      </c>
      <c r="EO59" s="62">
        <v>19567.59470879933</v>
      </c>
      <c r="ER59" s="62">
        <v>655691.9698697878</v>
      </c>
      <c r="ET59" s="62">
        <v>-73.013413092534819</v>
      </c>
      <c r="EX59" s="62">
        <v>1374302.067757016</v>
      </c>
      <c r="EY59" s="62">
        <v>1362274.987757016</v>
      </c>
      <c r="FA59" s="62">
        <v>1381842.5824658154</v>
      </c>
    </row>
    <row r="60" spans="1:157" x14ac:dyDescent="0.2">
      <c r="A60" s="241" t="s">
        <v>48</v>
      </c>
      <c r="B60" s="793">
        <v>2439</v>
      </c>
      <c r="C60" s="241">
        <v>238</v>
      </c>
      <c r="D60" s="241">
        <v>0</v>
      </c>
      <c r="E60" s="241">
        <v>0</v>
      </c>
      <c r="F60" s="241">
        <v>238</v>
      </c>
      <c r="G60" s="241">
        <v>0</v>
      </c>
      <c r="H60" s="241">
        <v>0</v>
      </c>
      <c r="I60" s="241">
        <v>0</v>
      </c>
      <c r="J60" s="241">
        <v>238</v>
      </c>
      <c r="K60" s="241">
        <v>0</v>
      </c>
      <c r="L60" s="241">
        <v>0</v>
      </c>
      <c r="M60" s="241">
        <v>238</v>
      </c>
      <c r="N60" s="62">
        <v>582293.61503361748</v>
      </c>
      <c r="O60" s="241"/>
      <c r="P60" s="241">
        <v>15.327199999999999</v>
      </c>
      <c r="Q60" s="241">
        <v>3.9999999999999925</v>
      </c>
      <c r="R60" s="241">
        <v>1.0000000000000007</v>
      </c>
      <c r="S60" s="241">
        <v>7.0000000000000115</v>
      </c>
      <c r="T60" s="241">
        <v>0</v>
      </c>
      <c r="U60" s="241">
        <v>0</v>
      </c>
      <c r="V60" s="241">
        <v>0</v>
      </c>
      <c r="W60" s="241">
        <v>27.327200000000001</v>
      </c>
      <c r="X60" s="241"/>
      <c r="Y60" s="241"/>
      <c r="Z60" s="241">
        <v>16502.642968</v>
      </c>
      <c r="AA60" s="241"/>
      <c r="AB60" s="794">
        <v>3655.4700000000039</v>
      </c>
      <c r="AC60" s="794"/>
      <c r="AD60" s="795">
        <v>20158.112968000005</v>
      </c>
      <c r="AE60" s="241">
        <v>0</v>
      </c>
      <c r="AF60" s="120">
        <v>0</v>
      </c>
      <c r="AG60" s="120">
        <v>0</v>
      </c>
      <c r="AH60" s="795">
        <v>0</v>
      </c>
      <c r="AI60" s="120">
        <v>4.4905660377358521</v>
      </c>
      <c r="AJ60" s="120">
        <v>0</v>
      </c>
      <c r="AK60" s="120">
        <v>4188.2611320754741</v>
      </c>
      <c r="AL60" s="120">
        <v>0</v>
      </c>
      <c r="AM60" s="795">
        <v>4188.2611320754741</v>
      </c>
      <c r="AN60" s="120">
        <v>7.0000000000000115</v>
      </c>
      <c r="AO60" s="120">
        <v>0</v>
      </c>
      <c r="AP60" s="795">
        <v>5334.0000000000091</v>
      </c>
      <c r="AQ60" s="795">
        <v>0</v>
      </c>
      <c r="AR60" s="795">
        <v>5334.0000000000091</v>
      </c>
      <c r="AS60" s="795">
        <v>100000</v>
      </c>
      <c r="AT60" s="120">
        <v>0</v>
      </c>
      <c r="AU60" s="120">
        <v>8073</v>
      </c>
      <c r="AV60" s="120">
        <v>0</v>
      </c>
      <c r="AW60" s="120">
        <v>720046.98913369305</v>
      </c>
      <c r="AY60" s="120">
        <v>1935.7341849750374</v>
      </c>
      <c r="AZ60" s="120">
        <v>0</v>
      </c>
      <c r="BA60" s="120">
        <v>17377.192316023287</v>
      </c>
      <c r="BB60" s="120">
        <v>17377.189999999999</v>
      </c>
      <c r="BC60" s="821">
        <v>739359.91563469125</v>
      </c>
      <c r="BD60" s="808">
        <v>-17377.192316023287</v>
      </c>
      <c r="BE60" s="808">
        <v>33453.899999999994</v>
      </c>
      <c r="BG60" s="808">
        <v>0</v>
      </c>
      <c r="BI60" s="808">
        <v>2002</v>
      </c>
      <c r="BM60" s="821">
        <v>0</v>
      </c>
      <c r="BN60" s="821"/>
      <c r="BP60" s="808">
        <v>757438.62331866799</v>
      </c>
      <c r="BQ60" s="808">
        <v>238</v>
      </c>
      <c r="BR60" s="814">
        <v>233</v>
      </c>
      <c r="BS60" s="814">
        <v>5</v>
      </c>
      <c r="BT60" s="814">
        <v>754567.08455569018</v>
      </c>
      <c r="BU60" s="814">
        <v>2871.5387629779289</v>
      </c>
      <c r="BV60" s="814">
        <v>233</v>
      </c>
      <c r="BW60" s="814">
        <v>574.30775259558573</v>
      </c>
      <c r="BY60" s="62">
        <v>63070</v>
      </c>
      <c r="BZ60" s="62">
        <v>8063.245187200002</v>
      </c>
      <c r="CA60" s="62">
        <v>1884.7175094339634</v>
      </c>
      <c r="CB60" s="62">
        <v>0</v>
      </c>
      <c r="CC60" s="62">
        <v>0</v>
      </c>
      <c r="CD60" s="62">
        <v>5334.0000000000091</v>
      </c>
      <c r="CE60" s="62">
        <v>78351.962696633971</v>
      </c>
      <c r="CF60" s="62">
        <v>8.70577363295933</v>
      </c>
      <c r="CH60" s="62">
        <v>30235.25155501988</v>
      </c>
      <c r="CI60" s="62">
        <v>3.359472395002209</v>
      </c>
      <c r="CJ60" s="62">
        <v>5.3463012379571211</v>
      </c>
      <c r="CK60" s="781"/>
      <c r="CL60" s="781"/>
      <c r="CM60" s="781"/>
      <c r="CN60" s="62">
        <v>611973.98913369293</v>
      </c>
      <c r="CV60" s="62">
        <v>582293.61503361748</v>
      </c>
      <c r="CW60" s="62">
        <v>0</v>
      </c>
      <c r="CX60" s="62">
        <v>0</v>
      </c>
      <c r="CZ60" s="62">
        <v>540.99999999999898</v>
      </c>
      <c r="DA60" s="62">
        <v>270.51000000000016</v>
      </c>
      <c r="DB60" s="62">
        <v>2843.9600000000046</v>
      </c>
      <c r="DC60" s="62">
        <v>0</v>
      </c>
      <c r="DD60" s="62">
        <v>0</v>
      </c>
      <c r="DE60" s="62">
        <v>0</v>
      </c>
      <c r="DN60" s="62">
        <v>17377.192316023287</v>
      </c>
      <c r="DO60" s="62">
        <v>0</v>
      </c>
      <c r="DP60" s="62">
        <v>0</v>
      </c>
      <c r="DR60" s="62">
        <v>582293.61503361748</v>
      </c>
      <c r="DS60" s="62">
        <v>0</v>
      </c>
      <c r="DT60" s="62">
        <v>0</v>
      </c>
      <c r="DV60" s="62">
        <v>599670.80734964076</v>
      </c>
      <c r="DW60" s="62">
        <v>0</v>
      </c>
      <c r="DX60" s="62">
        <v>0</v>
      </c>
      <c r="DZ60" s="62">
        <v>1935.7341849750374</v>
      </c>
      <c r="EB60" s="62">
        <v>721982.72563469142</v>
      </c>
      <c r="EC60" s="62">
        <v>238</v>
      </c>
      <c r="ED60" s="62">
        <v>3033.5408640113087</v>
      </c>
      <c r="EE60" s="62">
        <v>720546.16786063369</v>
      </c>
      <c r="EF60" s="62">
        <v>234</v>
      </c>
      <c r="EG60" s="62">
        <v>3079.2571276095455</v>
      </c>
      <c r="EI60" s="62">
        <v>-45.716263598236765</v>
      </c>
      <c r="EJ60" s="62">
        <v>1436.5577740577282</v>
      </c>
      <c r="EK60" s="62" t="s">
        <v>681</v>
      </c>
      <c r="EL60" s="789">
        <v>1.9937067715216604E-3</v>
      </c>
      <c r="EO60" s="62">
        <v>17377.192316023287</v>
      </c>
      <c r="ER60" s="62">
        <v>582293.61503361748</v>
      </c>
      <c r="ET60" s="62">
        <v>-73.013413092534819</v>
      </c>
      <c r="EX60" s="62">
        <v>721982.72331866808</v>
      </c>
      <c r="EY60" s="62">
        <v>713909.72331866808</v>
      </c>
      <c r="FA60" s="62">
        <v>731286.91563469137</v>
      </c>
    </row>
    <row r="61" spans="1:157" x14ac:dyDescent="0.2">
      <c r="A61" s="241" t="s">
        <v>49</v>
      </c>
      <c r="B61" s="793">
        <v>2440</v>
      </c>
      <c r="C61" s="241">
        <v>292</v>
      </c>
      <c r="D61" s="241">
        <v>0</v>
      </c>
      <c r="E61" s="241">
        <v>0</v>
      </c>
      <c r="F61" s="241">
        <v>292</v>
      </c>
      <c r="G61" s="241">
        <v>0</v>
      </c>
      <c r="H61" s="241">
        <v>0</v>
      </c>
      <c r="I61" s="241">
        <v>0</v>
      </c>
      <c r="J61" s="241">
        <v>292</v>
      </c>
      <c r="K61" s="241">
        <v>0</v>
      </c>
      <c r="L61" s="241">
        <v>0</v>
      </c>
      <c r="M61" s="241">
        <v>292</v>
      </c>
      <c r="N61" s="62">
        <v>714410.65373872395</v>
      </c>
      <c r="O61" s="241"/>
      <c r="P61" s="241">
        <v>35.419600000000003</v>
      </c>
      <c r="Q61" s="241">
        <v>1.0068965517241393</v>
      </c>
      <c r="R61" s="241">
        <v>7.0482758620689774</v>
      </c>
      <c r="S61" s="241">
        <v>4.0275862068965624</v>
      </c>
      <c r="T61" s="241">
        <v>3.0206896551724149</v>
      </c>
      <c r="U61" s="241">
        <v>1.0068965517241393</v>
      </c>
      <c r="V61" s="241">
        <v>0</v>
      </c>
      <c r="W61" s="241">
        <v>51.529944827586235</v>
      </c>
      <c r="X61" s="241"/>
      <c r="Y61" s="241"/>
      <c r="Z61" s="241">
        <v>38135.929124000002</v>
      </c>
      <c r="AA61" s="241"/>
      <c r="AB61" s="794">
        <v>6405.4731034482847</v>
      </c>
      <c r="AC61" s="794"/>
      <c r="AD61" s="795">
        <v>44541.402227448285</v>
      </c>
      <c r="AE61" s="241">
        <v>0</v>
      </c>
      <c r="AF61" s="120">
        <v>0</v>
      </c>
      <c r="AG61" s="120">
        <v>0</v>
      </c>
      <c r="AH61" s="795">
        <v>0</v>
      </c>
      <c r="AI61" s="120">
        <v>2.9999999999999925</v>
      </c>
      <c r="AJ61" s="120">
        <v>0</v>
      </c>
      <c r="AK61" s="120">
        <v>2798.0399999999927</v>
      </c>
      <c r="AL61" s="120">
        <v>0</v>
      </c>
      <c r="AM61" s="795">
        <v>2798.0399999999927</v>
      </c>
      <c r="AN61" s="120">
        <v>8</v>
      </c>
      <c r="AO61" s="120">
        <v>0</v>
      </c>
      <c r="AP61" s="795">
        <v>6096</v>
      </c>
      <c r="AQ61" s="795">
        <v>0</v>
      </c>
      <c r="AR61" s="795">
        <v>6096</v>
      </c>
      <c r="AS61" s="795">
        <v>100000</v>
      </c>
      <c r="AT61" s="120">
        <v>0</v>
      </c>
      <c r="AU61" s="120">
        <v>33104.239999999998</v>
      </c>
      <c r="AV61" s="120">
        <v>0</v>
      </c>
      <c r="AW61" s="120">
        <v>900950.33596617216</v>
      </c>
      <c r="AY61" s="120">
        <v>11502.362477016635</v>
      </c>
      <c r="AZ61" s="120">
        <v>0</v>
      </c>
      <c r="BA61" s="120">
        <v>21319.916623020166</v>
      </c>
      <c r="BB61" s="120">
        <v>21319.919999999998</v>
      </c>
      <c r="BC61" s="821">
        <v>933772.61506620911</v>
      </c>
      <c r="BD61" s="808">
        <v>-21319.916623020166</v>
      </c>
      <c r="BE61" s="808">
        <v>0</v>
      </c>
      <c r="BG61" s="808">
        <v>7257.8269816335478</v>
      </c>
      <c r="BM61" s="821">
        <v>0</v>
      </c>
      <c r="BN61" s="821"/>
      <c r="BP61" s="808">
        <v>919710.52542482247</v>
      </c>
      <c r="BQ61" s="808">
        <v>292</v>
      </c>
      <c r="BR61" s="814">
        <v>272</v>
      </c>
      <c r="BS61" s="814">
        <v>20</v>
      </c>
      <c r="BT61" s="814">
        <v>885035.79258097324</v>
      </c>
      <c r="BU61" s="814">
        <v>34674.732843849109</v>
      </c>
      <c r="BV61" s="814">
        <v>272</v>
      </c>
      <c r="BW61" s="814">
        <v>1733.7366421924555</v>
      </c>
      <c r="BY61" s="62">
        <v>77380</v>
      </c>
      <c r="BZ61" s="62">
        <v>17816.560890979315</v>
      </c>
      <c r="CA61" s="62">
        <v>1259.1179999999968</v>
      </c>
      <c r="CB61" s="62">
        <v>0</v>
      </c>
      <c r="CC61" s="62">
        <v>0</v>
      </c>
      <c r="CD61" s="62">
        <v>6096</v>
      </c>
      <c r="CE61" s="62">
        <v>102551.67889097931</v>
      </c>
      <c r="CF61" s="62">
        <v>11.39463098788659</v>
      </c>
      <c r="CH61" s="62">
        <v>57303.427267886633</v>
      </c>
      <c r="CI61" s="62">
        <v>6.3670474742096257</v>
      </c>
      <c r="CJ61" s="62">
        <v>5.027583513676964</v>
      </c>
      <c r="CK61" s="781"/>
      <c r="CL61" s="781"/>
      <c r="CM61" s="781"/>
      <c r="CN61" s="62">
        <v>767846.09596617229</v>
      </c>
      <c r="CV61" s="62">
        <v>714410.65373872395</v>
      </c>
      <c r="CW61" s="62">
        <v>0</v>
      </c>
      <c r="CX61" s="62">
        <v>0</v>
      </c>
      <c r="CZ61" s="62">
        <v>136.18275862068984</v>
      </c>
      <c r="DA61" s="62">
        <v>1906.629103448279</v>
      </c>
      <c r="DB61" s="62">
        <v>1636.3277241379353</v>
      </c>
      <c r="DC61" s="62">
        <v>1635.7940689655177</v>
      </c>
      <c r="DD61" s="62">
        <v>1090.5394482758634</v>
      </c>
      <c r="DE61" s="62">
        <v>0</v>
      </c>
      <c r="DN61" s="62">
        <v>21319.916623020166</v>
      </c>
      <c r="DO61" s="62">
        <v>0</v>
      </c>
      <c r="DP61" s="62">
        <v>0</v>
      </c>
      <c r="DR61" s="62">
        <v>714410.65373872395</v>
      </c>
      <c r="DS61" s="62">
        <v>0</v>
      </c>
      <c r="DT61" s="62">
        <v>0</v>
      </c>
      <c r="DV61" s="62">
        <v>735730.57036174415</v>
      </c>
      <c r="DW61" s="62">
        <v>0</v>
      </c>
      <c r="DX61" s="62">
        <v>0</v>
      </c>
      <c r="DZ61" s="62">
        <v>11502.362477016635</v>
      </c>
      <c r="EB61" s="62">
        <v>912452.69506620895</v>
      </c>
      <c r="EC61" s="62">
        <v>292</v>
      </c>
      <c r="ED61" s="62">
        <v>3124.8379968020854</v>
      </c>
      <c r="EE61" s="62">
        <v>874274.07632791088</v>
      </c>
      <c r="EF61" s="62">
        <v>274</v>
      </c>
      <c r="EG61" s="62">
        <v>3190.7813004668278</v>
      </c>
      <c r="EI61" s="62">
        <v>-65.943303664742416</v>
      </c>
      <c r="EJ61" s="62">
        <v>38178.618738298072</v>
      </c>
      <c r="EK61" s="62" t="s">
        <v>681</v>
      </c>
      <c r="EL61" s="789">
        <v>4.3668936060250463E-2</v>
      </c>
      <c r="EO61" s="62">
        <v>21319.916623020166</v>
      </c>
      <c r="ER61" s="62">
        <v>714410.65373872395</v>
      </c>
      <c r="ET61" s="62">
        <v>-73.013413092534819</v>
      </c>
      <c r="EX61" s="62">
        <v>912452.6984431888</v>
      </c>
      <c r="EY61" s="62">
        <v>879348.45844318881</v>
      </c>
      <c r="FA61" s="62">
        <v>900668.375066209</v>
      </c>
    </row>
    <row r="62" spans="1:157" x14ac:dyDescent="0.2">
      <c r="A62" s="241" t="s">
        <v>50</v>
      </c>
      <c r="B62" s="793">
        <v>2462</v>
      </c>
      <c r="C62" s="241">
        <v>233</v>
      </c>
      <c r="D62" s="241">
        <v>0</v>
      </c>
      <c r="E62" s="241">
        <v>0</v>
      </c>
      <c r="F62" s="241">
        <v>233</v>
      </c>
      <c r="G62" s="241">
        <v>0</v>
      </c>
      <c r="H62" s="241">
        <v>0</v>
      </c>
      <c r="I62" s="241">
        <v>0</v>
      </c>
      <c r="J62" s="241">
        <v>233</v>
      </c>
      <c r="K62" s="241">
        <v>0</v>
      </c>
      <c r="L62" s="241">
        <v>0</v>
      </c>
      <c r="M62" s="241">
        <v>233</v>
      </c>
      <c r="N62" s="62">
        <v>570060.55589425575</v>
      </c>
      <c r="O62" s="241"/>
      <c r="P62" s="241">
        <v>32.689899999999994</v>
      </c>
      <c r="Q62" s="241">
        <v>9.0387931034482847</v>
      </c>
      <c r="R62" s="241">
        <v>24.103448275862078</v>
      </c>
      <c r="S62" s="241">
        <v>21.090517241379303</v>
      </c>
      <c r="T62" s="241">
        <v>3.0129310344827536</v>
      </c>
      <c r="U62" s="241">
        <v>4.0172413793103381</v>
      </c>
      <c r="V62" s="241">
        <v>2.0086206896551717</v>
      </c>
      <c r="W62" s="241">
        <v>95.961451724137916</v>
      </c>
      <c r="X62" s="241"/>
      <c r="Y62" s="241"/>
      <c r="Z62" s="241">
        <v>35196.888430999999</v>
      </c>
      <c r="AA62" s="241"/>
      <c r="AB62" s="794">
        <v>24469.398879310334</v>
      </c>
      <c r="AC62" s="794"/>
      <c r="AD62" s="795">
        <v>59666.287310310334</v>
      </c>
      <c r="AE62" s="241">
        <v>0</v>
      </c>
      <c r="AF62" s="120">
        <v>0</v>
      </c>
      <c r="AG62" s="120">
        <v>0</v>
      </c>
      <c r="AH62" s="795">
        <v>0</v>
      </c>
      <c r="AI62" s="120">
        <v>20.60544217687076</v>
      </c>
      <c r="AJ62" s="120">
        <v>0</v>
      </c>
      <c r="AK62" s="120">
        <v>19218.283809523818</v>
      </c>
      <c r="AL62" s="120">
        <v>0</v>
      </c>
      <c r="AM62" s="795">
        <v>19218.283809523818</v>
      </c>
      <c r="AN62" s="120">
        <v>13.999999999999991</v>
      </c>
      <c r="AO62" s="120">
        <v>0</v>
      </c>
      <c r="AP62" s="795">
        <v>10667.999999999993</v>
      </c>
      <c r="AQ62" s="795">
        <v>0</v>
      </c>
      <c r="AR62" s="795">
        <v>10667.999999999993</v>
      </c>
      <c r="AS62" s="795">
        <v>100000</v>
      </c>
      <c r="AT62" s="120">
        <v>0</v>
      </c>
      <c r="AU62" s="120">
        <v>13336.96</v>
      </c>
      <c r="AV62" s="120">
        <v>0</v>
      </c>
      <c r="AW62" s="120">
        <v>772950.08701408992</v>
      </c>
      <c r="AY62" s="120">
        <v>35206.375359591795</v>
      </c>
      <c r="AZ62" s="120">
        <v>0</v>
      </c>
      <c r="BA62" s="120">
        <v>17012.125250560613</v>
      </c>
      <c r="BB62" s="120">
        <v>17012.13</v>
      </c>
      <c r="BC62" s="821">
        <v>825168.58762424218</v>
      </c>
      <c r="BD62" s="808">
        <v>-17012.125250560613</v>
      </c>
      <c r="BE62" s="808">
        <v>33453.899999999994</v>
      </c>
      <c r="BG62" s="808">
        <v>23275.100320411031</v>
      </c>
      <c r="BI62" s="808">
        <v>25652</v>
      </c>
      <c r="BM62" s="821">
        <v>104248.958</v>
      </c>
      <c r="BN62" s="821"/>
      <c r="BP62" s="808">
        <v>994786.42069409264</v>
      </c>
      <c r="BQ62" s="808">
        <v>233</v>
      </c>
      <c r="BR62" s="814">
        <v>221</v>
      </c>
      <c r="BS62" s="814">
        <v>12</v>
      </c>
      <c r="BT62" s="814">
        <v>910096.21911846939</v>
      </c>
      <c r="BU62" s="814">
        <v>84690.20157562336</v>
      </c>
      <c r="BV62" s="814">
        <v>221</v>
      </c>
      <c r="BW62" s="814">
        <v>7057.516797968613</v>
      </c>
      <c r="BY62" s="62">
        <v>61745</v>
      </c>
      <c r="BZ62" s="62">
        <v>23866.514924124134</v>
      </c>
      <c r="CA62" s="62">
        <v>8648.2277142857183</v>
      </c>
      <c r="CB62" s="62">
        <v>0</v>
      </c>
      <c r="CC62" s="62">
        <v>0</v>
      </c>
      <c r="CD62" s="62">
        <v>10667.999999999993</v>
      </c>
      <c r="CE62" s="62">
        <v>104927.74263840984</v>
      </c>
      <c r="CF62" s="62">
        <v>11.658638070934426</v>
      </c>
      <c r="CH62" s="62">
        <v>79475.359495143945</v>
      </c>
      <c r="CI62" s="62">
        <v>8.8305954994604381</v>
      </c>
      <c r="CJ62" s="62">
        <v>2.8280425714739881</v>
      </c>
      <c r="CK62" s="781"/>
      <c r="CL62" s="781"/>
      <c r="CM62" s="781"/>
      <c r="CN62" s="62">
        <v>659613.12701408984</v>
      </c>
      <c r="CV62" s="62">
        <v>570060.55589425575</v>
      </c>
      <c r="CW62" s="62">
        <v>0</v>
      </c>
      <c r="CX62" s="62">
        <v>0</v>
      </c>
      <c r="CZ62" s="62">
        <v>1222.4967672413804</v>
      </c>
      <c r="DA62" s="62">
        <v>6520.2237931034506</v>
      </c>
      <c r="DB62" s="62">
        <v>8568.6553448275827</v>
      </c>
      <c r="DC62" s="62">
        <v>1631.5925431034455</v>
      </c>
      <c r="DD62" s="62">
        <v>4350.9536206896473</v>
      </c>
      <c r="DE62" s="62">
        <v>2175.4768103448268</v>
      </c>
      <c r="DN62" s="62">
        <v>17012.125250560613</v>
      </c>
      <c r="DO62" s="62">
        <v>0</v>
      </c>
      <c r="DP62" s="62">
        <v>0</v>
      </c>
      <c r="DR62" s="62">
        <v>570060.55589425575</v>
      </c>
      <c r="DS62" s="62">
        <v>0</v>
      </c>
      <c r="DT62" s="62">
        <v>0</v>
      </c>
      <c r="DV62" s="62">
        <v>587072.68114481634</v>
      </c>
      <c r="DW62" s="62">
        <v>0</v>
      </c>
      <c r="DX62" s="62">
        <v>0</v>
      </c>
      <c r="DZ62" s="62">
        <v>35206.375359591795</v>
      </c>
      <c r="EB62" s="62">
        <v>808156.45762424229</v>
      </c>
      <c r="EC62" s="62">
        <v>233</v>
      </c>
      <c r="ED62" s="62">
        <v>3468.482650747821</v>
      </c>
      <c r="EE62" s="62">
        <v>769784.99002239131</v>
      </c>
      <c r="EF62" s="62">
        <v>217</v>
      </c>
      <c r="EG62" s="62">
        <v>3547.3962673842916</v>
      </c>
      <c r="EI62" s="62">
        <v>-78.913616636470579</v>
      </c>
      <c r="EJ62" s="62">
        <v>38371.467601850978</v>
      </c>
      <c r="EK62" s="62" t="s">
        <v>681</v>
      </c>
      <c r="EL62" s="789">
        <v>4.9846993769954953E-2</v>
      </c>
      <c r="EM62" s="701"/>
      <c r="EO62" s="62">
        <v>17012.125250560613</v>
      </c>
      <c r="ER62" s="62">
        <v>570060.55589425575</v>
      </c>
      <c r="ET62" s="62">
        <v>-73.013413092534819</v>
      </c>
      <c r="EX62" s="62">
        <v>808156.46237368172</v>
      </c>
      <c r="EY62" s="62">
        <v>794819.50237368175</v>
      </c>
      <c r="FA62" s="62">
        <v>811831.62762424233</v>
      </c>
    </row>
    <row r="63" spans="1:157" x14ac:dyDescent="0.2">
      <c r="A63" s="241" t="s">
        <v>51</v>
      </c>
      <c r="B63" s="793">
        <v>2463</v>
      </c>
      <c r="C63" s="241">
        <v>307</v>
      </c>
      <c r="D63" s="241">
        <v>0</v>
      </c>
      <c r="E63" s="241">
        <v>0</v>
      </c>
      <c r="F63" s="241">
        <v>307</v>
      </c>
      <c r="G63" s="241">
        <v>0</v>
      </c>
      <c r="H63" s="241">
        <v>0</v>
      </c>
      <c r="I63" s="241">
        <v>0</v>
      </c>
      <c r="J63" s="241">
        <v>307</v>
      </c>
      <c r="K63" s="241">
        <v>0</v>
      </c>
      <c r="L63" s="241">
        <v>0</v>
      </c>
      <c r="M63" s="241">
        <v>307</v>
      </c>
      <c r="N63" s="62">
        <v>751109.83115680912</v>
      </c>
      <c r="O63" s="241"/>
      <c r="P63" s="241">
        <v>53.018899999999995</v>
      </c>
      <c r="Q63" s="241">
        <v>5.0493421052631478</v>
      </c>
      <c r="R63" s="241">
        <v>18.177631578947377</v>
      </c>
      <c r="S63" s="241">
        <v>21.207236842105278</v>
      </c>
      <c r="T63" s="241">
        <v>3.0296052631578951</v>
      </c>
      <c r="U63" s="241">
        <v>2.0197368421052624</v>
      </c>
      <c r="V63" s="241">
        <v>0</v>
      </c>
      <c r="W63" s="241">
        <v>102.50245263157895</v>
      </c>
      <c r="X63" s="241"/>
      <c r="Y63" s="241"/>
      <c r="Z63" s="241">
        <v>57084.919440999998</v>
      </c>
      <c r="AA63" s="241"/>
      <c r="AB63" s="794">
        <v>18044.369342105267</v>
      </c>
      <c r="AC63" s="794"/>
      <c r="AD63" s="795">
        <v>75129.288783105265</v>
      </c>
      <c r="AE63" s="241">
        <v>0</v>
      </c>
      <c r="AF63" s="120">
        <v>0</v>
      </c>
      <c r="AG63" s="120">
        <v>0</v>
      </c>
      <c r="AH63" s="795">
        <v>0</v>
      </c>
      <c r="AI63" s="120">
        <v>21.000000000000011</v>
      </c>
      <c r="AJ63" s="120">
        <v>0</v>
      </c>
      <c r="AK63" s="120">
        <v>19586.28000000001</v>
      </c>
      <c r="AL63" s="120">
        <v>0</v>
      </c>
      <c r="AM63" s="795">
        <v>19586.28000000001</v>
      </c>
      <c r="AN63" s="120">
        <v>10.999999999999986</v>
      </c>
      <c r="AO63" s="120">
        <v>0</v>
      </c>
      <c r="AP63" s="795">
        <v>8381.9999999999891</v>
      </c>
      <c r="AQ63" s="795">
        <v>0</v>
      </c>
      <c r="AR63" s="795">
        <v>8381.9999999999891</v>
      </c>
      <c r="AS63" s="795">
        <v>100000</v>
      </c>
      <c r="AT63" s="120">
        <v>0</v>
      </c>
      <c r="AU63" s="120">
        <v>13336.96</v>
      </c>
      <c r="AV63" s="120">
        <v>0</v>
      </c>
      <c r="AW63" s="120">
        <v>967544.35993991443</v>
      </c>
      <c r="AY63" s="120">
        <v>0</v>
      </c>
      <c r="AZ63" s="120">
        <v>-1649.4355169726682</v>
      </c>
      <c r="BA63" s="120">
        <v>22415.117819408188</v>
      </c>
      <c r="BB63" s="120">
        <v>22415.119999999999</v>
      </c>
      <c r="BC63" s="821">
        <v>988310.04224234994</v>
      </c>
      <c r="BD63" s="808">
        <v>-22415.117819408188</v>
      </c>
      <c r="BE63" s="808">
        <v>0</v>
      </c>
      <c r="BG63" s="808">
        <v>14265.384067348696</v>
      </c>
      <c r="BI63" s="808">
        <v>5506</v>
      </c>
      <c r="BM63" s="821">
        <v>0</v>
      </c>
      <c r="BN63" s="821"/>
      <c r="BP63" s="808">
        <v>985666.30849029042</v>
      </c>
      <c r="BQ63" s="808">
        <v>307</v>
      </c>
      <c r="BR63" s="814">
        <v>278</v>
      </c>
      <c r="BS63" s="814">
        <v>29</v>
      </c>
      <c r="BT63" s="814">
        <v>902313.20951648301</v>
      </c>
      <c r="BU63" s="814">
        <v>83353.098973807413</v>
      </c>
      <c r="BV63" s="814">
        <v>278</v>
      </c>
      <c r="BW63" s="814">
        <v>2874.2447922002557</v>
      </c>
      <c r="BY63" s="62">
        <v>81355</v>
      </c>
      <c r="BZ63" s="62">
        <v>30051.715513242107</v>
      </c>
      <c r="CA63" s="62">
        <v>8813.8260000000046</v>
      </c>
      <c r="CB63" s="62">
        <v>0</v>
      </c>
      <c r="CC63" s="62">
        <v>0</v>
      </c>
      <c r="CD63" s="62">
        <v>8381.9999999999891</v>
      </c>
      <c r="CE63" s="62">
        <v>128602.54151324209</v>
      </c>
      <c r="CF63" s="62">
        <v>14.289171279249121</v>
      </c>
      <c r="CH63" s="62">
        <v>77337.278475077095</v>
      </c>
      <c r="CI63" s="62">
        <v>8.5930309416752326</v>
      </c>
      <c r="CJ63" s="62">
        <v>5.6961403375738886</v>
      </c>
      <c r="CK63" s="781"/>
      <c r="CL63" s="781"/>
      <c r="CM63" s="781"/>
      <c r="CN63" s="62">
        <v>854207.39993991447</v>
      </c>
      <c r="CV63" s="62">
        <v>751109.83115680912</v>
      </c>
      <c r="CW63" s="62">
        <v>0</v>
      </c>
      <c r="CX63" s="62">
        <v>0</v>
      </c>
      <c r="CZ63" s="62">
        <v>682.92351973684072</v>
      </c>
      <c r="DA63" s="62">
        <v>4917.2311184210548</v>
      </c>
      <c r="DB63" s="62">
        <v>8616.0761842105312</v>
      </c>
      <c r="DC63" s="62">
        <v>1640.6221381578948</v>
      </c>
      <c r="DD63" s="62">
        <v>2187.5163815789465</v>
      </c>
      <c r="DE63" s="62">
        <v>0</v>
      </c>
      <c r="DN63" s="62">
        <v>22415.117819408188</v>
      </c>
      <c r="DO63" s="62">
        <v>0</v>
      </c>
      <c r="DP63" s="62">
        <v>0</v>
      </c>
      <c r="DR63" s="62">
        <v>751109.83115680912</v>
      </c>
      <c r="DS63" s="62">
        <v>0</v>
      </c>
      <c r="DT63" s="62">
        <v>0</v>
      </c>
      <c r="DV63" s="62">
        <v>773524.9489762173</v>
      </c>
      <c r="DW63" s="62">
        <v>0</v>
      </c>
      <c r="DX63" s="62">
        <v>0</v>
      </c>
      <c r="DZ63" s="62">
        <v>-1649.4355169726682</v>
      </c>
      <c r="EB63" s="62">
        <v>965894.92224234995</v>
      </c>
      <c r="EC63" s="62">
        <v>307</v>
      </c>
      <c r="ED63" s="62">
        <v>3146.2375317340388</v>
      </c>
      <c r="EE63" s="62">
        <v>893178.35831546143</v>
      </c>
      <c r="EF63" s="62">
        <v>281</v>
      </c>
      <c r="EG63" s="62">
        <v>3178.5706701617846</v>
      </c>
      <c r="EI63" s="62">
        <v>-32.33313842774578</v>
      </c>
      <c r="EJ63" s="62">
        <v>72716.563926888513</v>
      </c>
      <c r="EK63" s="62" t="s">
        <v>681</v>
      </c>
      <c r="EL63" s="789">
        <v>8.1413262255964527E-2</v>
      </c>
      <c r="EO63" s="62">
        <v>22415.117819408188</v>
      </c>
      <c r="ER63" s="62">
        <v>751109.83115680912</v>
      </c>
      <c r="ET63" s="62">
        <v>-73.013413092534819</v>
      </c>
      <c r="EX63" s="62">
        <v>965894.92442294175</v>
      </c>
      <c r="EY63" s="62">
        <v>952557.96442294179</v>
      </c>
      <c r="FA63" s="62">
        <v>974973.08224234998</v>
      </c>
    </row>
    <row r="64" spans="1:157" x14ac:dyDescent="0.2">
      <c r="A64" s="241" t="s">
        <v>52</v>
      </c>
      <c r="B64" s="793">
        <v>2505</v>
      </c>
      <c r="C64" s="241">
        <v>436</v>
      </c>
      <c r="D64" s="241">
        <v>0</v>
      </c>
      <c r="E64" s="241">
        <v>0</v>
      </c>
      <c r="F64" s="241">
        <v>436</v>
      </c>
      <c r="G64" s="241">
        <v>0</v>
      </c>
      <c r="H64" s="241">
        <v>0</v>
      </c>
      <c r="I64" s="241">
        <v>0</v>
      </c>
      <c r="J64" s="241">
        <v>436</v>
      </c>
      <c r="K64" s="241">
        <v>0</v>
      </c>
      <c r="L64" s="241">
        <v>0</v>
      </c>
      <c r="M64" s="241">
        <v>436</v>
      </c>
      <c r="N64" s="62">
        <v>1066722.7569523414</v>
      </c>
      <c r="O64" s="241"/>
      <c r="P64" s="241">
        <v>160.01200000000003</v>
      </c>
      <c r="Q64" s="241">
        <v>97.113689095127597</v>
      </c>
      <c r="R64" s="241">
        <v>0</v>
      </c>
      <c r="S64" s="241">
        <v>154.77494199535971</v>
      </c>
      <c r="T64" s="241">
        <v>90.032482598608013</v>
      </c>
      <c r="U64" s="241">
        <v>2.0232018561484937</v>
      </c>
      <c r="V64" s="241">
        <v>50.580046403712124</v>
      </c>
      <c r="W64" s="241">
        <v>554.53636194895603</v>
      </c>
      <c r="X64" s="241"/>
      <c r="Y64" s="241"/>
      <c r="Z64" s="241">
        <v>172283.32028000004</v>
      </c>
      <c r="AA64" s="241"/>
      <c r="AB64" s="794">
        <v>181744.88027842218</v>
      </c>
      <c r="AC64" s="794"/>
      <c r="AD64" s="795">
        <v>354028.20055842225</v>
      </c>
      <c r="AE64" s="241">
        <v>0</v>
      </c>
      <c r="AF64" s="120">
        <v>0</v>
      </c>
      <c r="AG64" s="120">
        <v>0</v>
      </c>
      <c r="AH64" s="795">
        <v>0</v>
      </c>
      <c r="AI64" s="120">
        <v>67.634349030470844</v>
      </c>
      <c r="AJ64" s="120">
        <v>0</v>
      </c>
      <c r="AK64" s="120">
        <v>63081.204653739544</v>
      </c>
      <c r="AL64" s="120">
        <v>0</v>
      </c>
      <c r="AM64" s="795">
        <v>63081.204653739544</v>
      </c>
      <c r="AN64" s="120">
        <v>39.000000000000014</v>
      </c>
      <c r="AO64" s="120">
        <v>0</v>
      </c>
      <c r="AP64" s="795">
        <v>29718.000000000011</v>
      </c>
      <c r="AQ64" s="795">
        <v>0</v>
      </c>
      <c r="AR64" s="795">
        <v>29718.000000000011</v>
      </c>
      <c r="AS64" s="795">
        <v>100000</v>
      </c>
      <c r="AT64" s="120">
        <v>0</v>
      </c>
      <c r="AU64" s="120">
        <v>27864.274285714284</v>
      </c>
      <c r="AV64" s="120">
        <v>0</v>
      </c>
      <c r="AW64" s="120">
        <v>1641414.4364502174</v>
      </c>
      <c r="AY64" s="120">
        <v>29743.092200915096</v>
      </c>
      <c r="AZ64" s="120">
        <v>0</v>
      </c>
      <c r="BA64" s="120">
        <v>31833.848108345181</v>
      </c>
      <c r="BB64" s="120">
        <v>31833.85</v>
      </c>
      <c r="BC64" s="821">
        <v>1702991.3767594779</v>
      </c>
      <c r="BD64" s="808">
        <v>-31833.848108345181</v>
      </c>
      <c r="BE64" s="808">
        <v>33453.899999999994</v>
      </c>
      <c r="BG64" s="808">
        <v>11011.87542040952</v>
      </c>
      <c r="BI64" s="808">
        <v>18019</v>
      </c>
      <c r="BM64" s="821">
        <v>191378.01620000001</v>
      </c>
      <c r="BN64" s="821"/>
      <c r="BP64" s="808">
        <v>1925020.3202715421</v>
      </c>
      <c r="BQ64" s="808">
        <v>436</v>
      </c>
      <c r="BR64" s="814">
        <v>406</v>
      </c>
      <c r="BS64" s="814">
        <v>30</v>
      </c>
      <c r="BT64" s="814">
        <v>1862143.9137261624</v>
      </c>
      <c r="BU64" s="814">
        <v>62876.406545379432</v>
      </c>
      <c r="BV64" s="814">
        <v>406</v>
      </c>
      <c r="BW64" s="814">
        <v>2095.8802181793144</v>
      </c>
      <c r="BY64" s="62">
        <v>115540</v>
      </c>
      <c r="BZ64" s="62">
        <v>141611.2802233689</v>
      </c>
      <c r="CA64" s="62">
        <v>28386.542094182794</v>
      </c>
      <c r="CB64" s="62">
        <v>0</v>
      </c>
      <c r="CC64" s="62">
        <v>0</v>
      </c>
      <c r="CD64" s="62">
        <v>29718.000000000011</v>
      </c>
      <c r="CE64" s="62">
        <v>315255.82231755171</v>
      </c>
      <c r="CF64" s="62">
        <v>35.028424701950186</v>
      </c>
      <c r="CH64" s="62">
        <v>235164.29975034247</v>
      </c>
      <c r="CI64" s="62">
        <v>26.129366638926943</v>
      </c>
      <c r="CJ64" s="62">
        <v>8.8990580630232436</v>
      </c>
      <c r="CK64" s="781" t="s">
        <v>615</v>
      </c>
      <c r="CL64" s="781"/>
      <c r="CM64" s="781"/>
      <c r="CN64" s="62">
        <v>1513550.1621645032</v>
      </c>
      <c r="CV64" s="62">
        <v>1066722.7569523414</v>
      </c>
      <c r="CW64" s="62">
        <v>0</v>
      </c>
      <c r="CX64" s="62">
        <v>0</v>
      </c>
      <c r="CZ64" s="62">
        <v>13134.626450116008</v>
      </c>
      <c r="DA64" s="62">
        <v>0</v>
      </c>
      <c r="DB64" s="62">
        <v>62881.963433874742</v>
      </c>
      <c r="DC64" s="62">
        <v>48755.290301624198</v>
      </c>
      <c r="DD64" s="62">
        <v>2191.2692343387489</v>
      </c>
      <c r="DE64" s="62">
        <v>54781.730858468487</v>
      </c>
      <c r="DN64" s="62">
        <v>31833.848108345181</v>
      </c>
      <c r="DO64" s="62">
        <v>0</v>
      </c>
      <c r="DP64" s="62">
        <v>0</v>
      </c>
      <c r="DR64" s="62">
        <v>1066722.7569523414</v>
      </c>
      <c r="DS64" s="62">
        <v>0</v>
      </c>
      <c r="DT64" s="62">
        <v>0</v>
      </c>
      <c r="DV64" s="62">
        <v>1098556.6050606866</v>
      </c>
      <c r="DW64" s="62">
        <v>0</v>
      </c>
      <c r="DX64" s="62">
        <v>0</v>
      </c>
      <c r="DZ64" s="62">
        <v>29743.092200915096</v>
      </c>
      <c r="EB64" s="62">
        <v>1671157.5267594776</v>
      </c>
      <c r="EC64" s="62">
        <v>436</v>
      </c>
      <c r="ED64" s="62">
        <v>3832.9301072465082</v>
      </c>
      <c r="EE64" s="62">
        <v>1600155.441880085</v>
      </c>
      <c r="EF64" s="62">
        <v>410</v>
      </c>
      <c r="EG64" s="62">
        <v>3902.8181509270366</v>
      </c>
      <c r="EI64" s="62">
        <v>-69.888043680528426</v>
      </c>
      <c r="EJ64" s="62">
        <v>71002.084879392525</v>
      </c>
      <c r="EK64" s="62" t="s">
        <v>681</v>
      </c>
      <c r="EL64" s="789">
        <v>4.4371992258432975E-2</v>
      </c>
      <c r="EO64" s="62">
        <v>31833.848108345181</v>
      </c>
      <c r="ER64" s="62">
        <v>1066722.7569523414</v>
      </c>
      <c r="ET64" s="62">
        <v>-73.013413092534819</v>
      </c>
      <c r="EX64" s="62">
        <v>1671157.5286511325</v>
      </c>
      <c r="EY64" s="62">
        <v>1643293.2543654181</v>
      </c>
      <c r="FA64" s="62">
        <v>1675127.1024737633</v>
      </c>
    </row>
    <row r="65" spans="1:157" x14ac:dyDescent="0.2">
      <c r="A65" s="241" t="s">
        <v>53</v>
      </c>
      <c r="B65" s="793">
        <v>2000</v>
      </c>
      <c r="C65" s="241">
        <v>299</v>
      </c>
      <c r="D65" s="241">
        <v>0</v>
      </c>
      <c r="E65" s="241">
        <v>0</v>
      </c>
      <c r="F65" s="241">
        <v>299</v>
      </c>
      <c r="G65" s="241">
        <v>20</v>
      </c>
      <c r="H65" s="241">
        <v>0</v>
      </c>
      <c r="I65" s="241">
        <v>0</v>
      </c>
      <c r="J65" s="241">
        <v>279</v>
      </c>
      <c r="K65" s="241">
        <v>0</v>
      </c>
      <c r="L65" s="241">
        <v>0</v>
      </c>
      <c r="M65" s="241">
        <v>279</v>
      </c>
      <c r="N65" s="62">
        <v>682604.69997638359</v>
      </c>
      <c r="O65" s="241"/>
      <c r="P65" s="241">
        <v>103.84379999999999</v>
      </c>
      <c r="Q65" s="241">
        <v>79.577319587628722</v>
      </c>
      <c r="R65" s="241">
        <v>24.927835051546396</v>
      </c>
      <c r="S65" s="241">
        <v>144.77319587628872</v>
      </c>
      <c r="T65" s="241">
        <v>9.5876288659793882</v>
      </c>
      <c r="U65" s="241">
        <v>3.835051546391766</v>
      </c>
      <c r="V65" s="241">
        <v>2.8762886597938246</v>
      </c>
      <c r="W65" s="241">
        <v>369.42111958762882</v>
      </c>
      <c r="X65" s="241"/>
      <c r="Y65" s="241"/>
      <c r="Z65" s="241">
        <v>111807.581022</v>
      </c>
      <c r="AA65" s="241"/>
      <c r="AB65" s="794">
        <v>88785.355051546416</v>
      </c>
      <c r="AC65" s="794"/>
      <c r="AD65" s="795">
        <v>200592.93607354641</v>
      </c>
      <c r="AE65" s="241">
        <v>0</v>
      </c>
      <c r="AF65" s="120">
        <v>0</v>
      </c>
      <c r="AG65" s="120">
        <v>0</v>
      </c>
      <c r="AH65" s="795">
        <v>0</v>
      </c>
      <c r="AI65" s="120">
        <v>11.803846153846152</v>
      </c>
      <c r="AJ65" s="120">
        <v>0</v>
      </c>
      <c r="AK65" s="120">
        <v>11009.211230769228</v>
      </c>
      <c r="AL65" s="120">
        <v>0</v>
      </c>
      <c r="AM65" s="795">
        <v>11009.211230769228</v>
      </c>
      <c r="AN65" s="120">
        <v>32.65886287625419</v>
      </c>
      <c r="AO65" s="120">
        <v>0</v>
      </c>
      <c r="AP65" s="795">
        <v>24886.053511705693</v>
      </c>
      <c r="AQ65" s="795">
        <v>0</v>
      </c>
      <c r="AR65" s="795">
        <v>24886.053511705693</v>
      </c>
      <c r="AS65" s="795">
        <v>100000</v>
      </c>
      <c r="AT65" s="120">
        <v>0</v>
      </c>
      <c r="AU65" s="120">
        <v>15837.64</v>
      </c>
      <c r="AV65" s="120">
        <v>0</v>
      </c>
      <c r="AW65" s="120">
        <v>1034930.5407924049</v>
      </c>
      <c r="AY65" s="120">
        <v>0</v>
      </c>
      <c r="AZ65" s="120">
        <v>0</v>
      </c>
      <c r="BA65" s="120">
        <v>20370.742252817214</v>
      </c>
      <c r="BB65" s="120">
        <v>20370.740000000002</v>
      </c>
      <c r="BC65" s="821">
        <v>1055301.2830452221</v>
      </c>
      <c r="BD65" s="808">
        <v>-20370.742252817214</v>
      </c>
      <c r="BE65" s="808">
        <v>22302.6</v>
      </c>
      <c r="BF65" s="808">
        <v>480322.11975678615</v>
      </c>
      <c r="BG65" s="808">
        <v>10386.200680613523</v>
      </c>
      <c r="BI65" s="808">
        <v>12138</v>
      </c>
      <c r="BM65" s="821">
        <v>109651.7326</v>
      </c>
      <c r="BN65" s="821"/>
      <c r="BP65" s="808">
        <v>1669731.1938298044</v>
      </c>
      <c r="BQ65" s="808">
        <v>279</v>
      </c>
      <c r="BR65" s="814">
        <v>309</v>
      </c>
      <c r="BS65" s="814">
        <v>-30</v>
      </c>
      <c r="BT65" s="814">
        <v>1645034.8406083644</v>
      </c>
      <c r="BU65" s="814">
        <v>24696.353221439989</v>
      </c>
      <c r="BV65" s="814">
        <v>309</v>
      </c>
      <c r="BW65" s="814">
        <v>-823.2117740479996</v>
      </c>
      <c r="BY65" s="62">
        <v>73935</v>
      </c>
      <c r="BZ65" s="62">
        <v>80237.174429418577</v>
      </c>
      <c r="CA65" s="62">
        <v>4954.1450538461522</v>
      </c>
      <c r="CB65" s="62">
        <v>0</v>
      </c>
      <c r="CC65" s="62">
        <v>0</v>
      </c>
      <c r="CD65" s="62">
        <v>24886.053511705693</v>
      </c>
      <c r="CE65" s="62">
        <v>184012.37299497041</v>
      </c>
      <c r="CF65" s="62">
        <v>20.445819221663378</v>
      </c>
      <c r="CH65" s="62">
        <v>562334.82518154744</v>
      </c>
      <c r="CI65" s="62">
        <v>62.48164724239416</v>
      </c>
      <c r="CJ65" s="62">
        <v>-42.035828020730783</v>
      </c>
      <c r="CK65" s="781" t="s">
        <v>614</v>
      </c>
      <c r="CL65" s="781" t="s">
        <v>616</v>
      </c>
      <c r="CM65" s="781"/>
      <c r="CN65" s="62">
        <v>919092.90079240489</v>
      </c>
      <c r="CV65" s="62">
        <v>682604.69997638359</v>
      </c>
      <c r="CW65" s="62">
        <v>0</v>
      </c>
      <c r="CX65" s="62">
        <v>0</v>
      </c>
      <c r="CZ65" s="62">
        <v>10762.832474226785</v>
      </c>
      <c r="DA65" s="62">
        <v>6743.2286597938155</v>
      </c>
      <c r="DB65" s="62">
        <v>58818.454020618577</v>
      </c>
      <c r="DC65" s="62">
        <v>5191.9886597938175</v>
      </c>
      <c r="DD65" s="62">
        <v>4153.6292783505296</v>
      </c>
      <c r="DE65" s="62">
        <v>3115.2219587628974</v>
      </c>
      <c r="DN65" s="62">
        <v>20370.742252817214</v>
      </c>
      <c r="DO65" s="62">
        <v>0</v>
      </c>
      <c r="DP65" s="62">
        <v>0</v>
      </c>
      <c r="DR65" s="62">
        <v>682604.69997638359</v>
      </c>
      <c r="DS65" s="62">
        <v>0</v>
      </c>
      <c r="DT65" s="62">
        <v>0</v>
      </c>
      <c r="DV65" s="62">
        <v>702975.44222920085</v>
      </c>
      <c r="DW65" s="62">
        <v>0</v>
      </c>
      <c r="DX65" s="62">
        <v>0</v>
      </c>
      <c r="DZ65" s="62">
        <v>0</v>
      </c>
      <c r="EB65" s="62">
        <v>1034930.5430452221</v>
      </c>
      <c r="EC65" s="62">
        <v>279</v>
      </c>
      <c r="ED65" s="62">
        <v>3709.4284696961363</v>
      </c>
      <c r="EE65" s="62">
        <v>1065429.3504818822</v>
      </c>
      <c r="EF65" s="62">
        <v>307</v>
      </c>
      <c r="EG65" s="62">
        <v>3470.4539103644374</v>
      </c>
      <c r="EI65" s="62">
        <v>238.97455933169886</v>
      </c>
      <c r="EJ65" s="62">
        <v>-30498.807436660165</v>
      </c>
      <c r="EK65" s="62" t="s">
        <v>616</v>
      </c>
      <c r="EL65" s="789">
        <v>-2.8625837483138496E-2</v>
      </c>
      <c r="EO65" s="62">
        <v>20370.742252817214</v>
      </c>
      <c r="ER65" s="62">
        <v>682604.69997638359</v>
      </c>
      <c r="ET65" s="62">
        <v>-73.013413092534819</v>
      </c>
      <c r="EX65" s="62">
        <v>1034930.5407924048</v>
      </c>
      <c r="EY65" s="62">
        <v>1019092.9007924048</v>
      </c>
      <c r="FA65" s="62">
        <v>1039463.643045222</v>
      </c>
    </row>
    <row r="66" spans="1:157" x14ac:dyDescent="0.2">
      <c r="A66" s="241" t="s">
        <v>54</v>
      </c>
      <c r="B66" s="793">
        <v>2458</v>
      </c>
      <c r="C66" s="241">
        <v>269</v>
      </c>
      <c r="D66" s="241">
        <v>0</v>
      </c>
      <c r="E66" s="241">
        <v>0</v>
      </c>
      <c r="F66" s="241">
        <v>269</v>
      </c>
      <c r="G66" s="241">
        <v>0</v>
      </c>
      <c r="H66" s="241">
        <v>0</v>
      </c>
      <c r="I66" s="241">
        <v>0</v>
      </c>
      <c r="J66" s="241">
        <v>269</v>
      </c>
      <c r="K66" s="241">
        <v>0</v>
      </c>
      <c r="L66" s="241">
        <v>0</v>
      </c>
      <c r="M66" s="241">
        <v>269</v>
      </c>
      <c r="N66" s="62">
        <v>658138.58169766015</v>
      </c>
      <c r="O66" s="241"/>
      <c r="P66" s="241">
        <v>39.838900000000002</v>
      </c>
      <c r="Q66" s="241">
        <v>27.100746268656604</v>
      </c>
      <c r="R66" s="241">
        <v>0</v>
      </c>
      <c r="S66" s="241">
        <v>78.291044776119406</v>
      </c>
      <c r="T66" s="241">
        <v>15.055970149253719</v>
      </c>
      <c r="U66" s="241">
        <v>3.0111940298507545</v>
      </c>
      <c r="V66" s="241">
        <v>4.0149253731343393</v>
      </c>
      <c r="W66" s="241">
        <v>167.31278059701478</v>
      </c>
      <c r="X66" s="241"/>
      <c r="Y66" s="241"/>
      <c r="Z66" s="241">
        <v>42894.145241000006</v>
      </c>
      <c r="AA66" s="241"/>
      <c r="AB66" s="794">
        <v>51236.500261194036</v>
      </c>
      <c r="AC66" s="794"/>
      <c r="AD66" s="795">
        <v>94130.645502194035</v>
      </c>
      <c r="AE66" s="241">
        <v>0.99629629629629635</v>
      </c>
      <c r="AF66" s="120">
        <v>1650.8629629629631</v>
      </c>
      <c r="AG66" s="120">
        <v>0</v>
      </c>
      <c r="AH66" s="795">
        <v>0</v>
      </c>
      <c r="AI66" s="120">
        <v>126.23463687150844</v>
      </c>
      <c r="AJ66" s="120">
        <v>0</v>
      </c>
      <c r="AK66" s="120">
        <v>117736.52111731849</v>
      </c>
      <c r="AL66" s="120">
        <v>0</v>
      </c>
      <c r="AM66" s="795">
        <v>117736.52111731849</v>
      </c>
      <c r="AN66" s="120">
        <v>9.0000000000000089</v>
      </c>
      <c r="AO66" s="120">
        <v>0</v>
      </c>
      <c r="AP66" s="795">
        <v>6858.0000000000064</v>
      </c>
      <c r="AQ66" s="795">
        <v>0</v>
      </c>
      <c r="AR66" s="795">
        <v>6858.0000000000064</v>
      </c>
      <c r="AS66" s="795">
        <v>100000</v>
      </c>
      <c r="AT66" s="120">
        <v>0</v>
      </c>
      <c r="AU66" s="120">
        <v>3165.76</v>
      </c>
      <c r="AV66" s="120">
        <v>0</v>
      </c>
      <c r="AW66" s="120">
        <v>981680.37128013559</v>
      </c>
      <c r="AY66" s="120">
        <v>0</v>
      </c>
      <c r="AZ66" s="120">
        <v>-46781.734390051701</v>
      </c>
      <c r="BA66" s="120">
        <v>19640.608121891866</v>
      </c>
      <c r="BB66" s="120">
        <v>19640.61</v>
      </c>
      <c r="BC66" s="821">
        <v>954539.24501197587</v>
      </c>
      <c r="BD66" s="808">
        <v>-19640.608121891866</v>
      </c>
      <c r="BE66" s="808">
        <v>33453.899999999994</v>
      </c>
      <c r="BG66" s="808">
        <v>21022.671257145448</v>
      </c>
      <c r="BI66" s="808">
        <v>21900</v>
      </c>
      <c r="BM66" s="821">
        <v>0</v>
      </c>
      <c r="BN66" s="821"/>
      <c r="BP66" s="808">
        <v>1011275.2081472295</v>
      </c>
      <c r="BQ66" s="808">
        <v>269</v>
      </c>
      <c r="BR66" s="814">
        <v>270</v>
      </c>
      <c r="BS66" s="827">
        <v>-1</v>
      </c>
      <c r="BT66" s="814">
        <v>984224.62142222782</v>
      </c>
      <c r="BU66" s="827">
        <v>27050.586725001573</v>
      </c>
      <c r="BV66" s="814">
        <v>270</v>
      </c>
      <c r="BW66" s="814">
        <v>-27050.586725001573</v>
      </c>
      <c r="BY66" s="62">
        <v>71285</v>
      </c>
      <c r="BZ66" s="62">
        <v>37652.258200877615</v>
      </c>
      <c r="CA66" s="62">
        <v>52981.434502793323</v>
      </c>
      <c r="CB66" s="62">
        <v>1650.8629629629631</v>
      </c>
      <c r="CC66" s="62">
        <v>0</v>
      </c>
      <c r="CD66" s="62">
        <v>6858.0000000000064</v>
      </c>
      <c r="CE66" s="62">
        <v>170427.55566663391</v>
      </c>
      <c r="CF66" s="62">
        <v>18.936395074070436</v>
      </c>
      <c r="CH66" s="62">
        <v>89364.501948987163</v>
      </c>
      <c r="CI66" s="62">
        <v>9.9293891054430183</v>
      </c>
      <c r="CJ66" s="62">
        <v>9.0070059686274178</v>
      </c>
      <c r="CK66" s="781"/>
      <c r="CL66" s="781"/>
      <c r="CM66" s="781"/>
      <c r="CN66" s="62">
        <v>878514.61128013569</v>
      </c>
      <c r="CV66" s="62">
        <v>658138.58169766015</v>
      </c>
      <c r="CW66" s="62">
        <v>0</v>
      </c>
      <c r="CX66" s="62">
        <v>0</v>
      </c>
      <c r="CZ66" s="62">
        <v>3665.3759328358055</v>
      </c>
      <c r="DA66" s="62">
        <v>0</v>
      </c>
      <c r="DB66" s="62">
        <v>31808.085671641791</v>
      </c>
      <c r="DC66" s="62">
        <v>8153.2595149253657</v>
      </c>
      <c r="DD66" s="62">
        <v>3261.3339179104564</v>
      </c>
      <c r="DE66" s="62">
        <v>4348.4452238806089</v>
      </c>
      <c r="DN66" s="62">
        <v>19640.608121891866</v>
      </c>
      <c r="DO66" s="62">
        <v>0</v>
      </c>
      <c r="DP66" s="62">
        <v>0</v>
      </c>
      <c r="DR66" s="62">
        <v>658138.58169766015</v>
      </c>
      <c r="DS66" s="62">
        <v>0</v>
      </c>
      <c r="DT66" s="62">
        <v>0</v>
      </c>
      <c r="DV66" s="62">
        <v>677779.189819552</v>
      </c>
      <c r="DW66" s="62">
        <v>0</v>
      </c>
      <c r="DX66" s="62">
        <v>0</v>
      </c>
      <c r="DZ66" s="62">
        <v>-46781.734390051701</v>
      </c>
      <c r="EB66" s="62">
        <v>934898.63501197577</v>
      </c>
      <c r="EC66" s="62">
        <v>269</v>
      </c>
      <c r="ED66" s="62">
        <v>3475.459609709947</v>
      </c>
      <c r="EE66" s="62">
        <v>931684.93310982338</v>
      </c>
      <c r="EF66" s="62">
        <v>268</v>
      </c>
      <c r="EG66" s="62">
        <v>3476.4363175739677</v>
      </c>
      <c r="EI66" s="62">
        <v>-0.97670786402068188</v>
      </c>
      <c r="EJ66" s="62">
        <v>3213.7019021523884</v>
      </c>
      <c r="EK66" s="62" t="s">
        <v>681</v>
      </c>
      <c r="EL66" s="789">
        <v>3.449344073243234E-3</v>
      </c>
      <c r="EO66" s="62">
        <v>19640.608121891866</v>
      </c>
      <c r="ER66" s="62">
        <v>658138.58169766015</v>
      </c>
      <c r="ET66" s="62">
        <v>-73.013413092534819</v>
      </c>
      <c r="EX66" s="62">
        <v>934898.6368900839</v>
      </c>
      <c r="EY66" s="62">
        <v>931732.87689008389</v>
      </c>
      <c r="FA66" s="62">
        <v>951373.48501197575</v>
      </c>
    </row>
    <row r="67" spans="1:157" x14ac:dyDescent="0.2">
      <c r="A67" s="241" t="s">
        <v>55</v>
      </c>
      <c r="B67" s="793">
        <v>2001</v>
      </c>
      <c r="C67" s="241">
        <v>311</v>
      </c>
      <c r="D67" s="241">
        <v>0</v>
      </c>
      <c r="E67" s="241">
        <v>0</v>
      </c>
      <c r="F67" s="241">
        <v>311</v>
      </c>
      <c r="G67" s="241">
        <v>0</v>
      </c>
      <c r="H67" s="241">
        <v>0</v>
      </c>
      <c r="I67" s="241">
        <v>0</v>
      </c>
      <c r="J67" s="241">
        <v>311</v>
      </c>
      <c r="K67" s="241">
        <v>0</v>
      </c>
      <c r="L67" s="241">
        <v>0</v>
      </c>
      <c r="M67" s="241">
        <v>311</v>
      </c>
      <c r="N67" s="62">
        <v>760896.27846829849</v>
      </c>
      <c r="O67" s="241"/>
      <c r="P67" s="241">
        <v>205.19780000000003</v>
      </c>
      <c r="Q67" s="241">
        <v>45.438311688311657</v>
      </c>
      <c r="R67" s="241">
        <v>29.282467532467546</v>
      </c>
      <c r="S67" s="241">
        <v>13.126623376623375</v>
      </c>
      <c r="T67" s="241">
        <v>17.165584415584416</v>
      </c>
      <c r="U67" s="241">
        <v>172.66558441558436</v>
      </c>
      <c r="V67" s="241">
        <v>0</v>
      </c>
      <c r="W67" s="241">
        <v>482.87637142857142</v>
      </c>
      <c r="X67" s="241"/>
      <c r="Y67" s="241"/>
      <c r="Z67" s="241">
        <v>220934.41928200005</v>
      </c>
      <c r="AA67" s="241"/>
      <c r="AB67" s="794">
        <v>215704.40993506488</v>
      </c>
      <c r="AC67" s="794"/>
      <c r="AD67" s="795">
        <v>436638.82921706489</v>
      </c>
      <c r="AE67" s="241">
        <v>0</v>
      </c>
      <c r="AF67" s="120">
        <v>0</v>
      </c>
      <c r="AG67" s="120">
        <v>0</v>
      </c>
      <c r="AH67" s="795">
        <v>0</v>
      </c>
      <c r="AI67" s="120">
        <v>19.824701195219113</v>
      </c>
      <c r="AJ67" s="120">
        <v>0</v>
      </c>
      <c r="AK67" s="120">
        <v>18490.10231075696</v>
      </c>
      <c r="AL67" s="120">
        <v>0</v>
      </c>
      <c r="AM67" s="795">
        <v>18490.10231075696</v>
      </c>
      <c r="AN67" s="120">
        <v>32.999999999999858</v>
      </c>
      <c r="AO67" s="120">
        <v>0</v>
      </c>
      <c r="AP67" s="795">
        <v>25145.999999999891</v>
      </c>
      <c r="AQ67" s="795">
        <v>0</v>
      </c>
      <c r="AR67" s="795">
        <v>25145.999999999891</v>
      </c>
      <c r="AS67" s="795">
        <v>100000</v>
      </c>
      <c r="AT67" s="120">
        <v>0</v>
      </c>
      <c r="AU67" s="120">
        <v>17981.080000000002</v>
      </c>
      <c r="AV67" s="120">
        <v>0</v>
      </c>
      <c r="AW67" s="120">
        <v>1359152.2899961201</v>
      </c>
      <c r="AY67" s="120">
        <v>0</v>
      </c>
      <c r="AZ67" s="120">
        <v>-19024.745701162443</v>
      </c>
      <c r="BA67" s="120">
        <v>22707.171471778329</v>
      </c>
      <c r="BB67" s="120">
        <v>22707.17</v>
      </c>
      <c r="BC67" s="821">
        <v>1362834.7157667363</v>
      </c>
      <c r="BD67" s="808">
        <v>-22707.171471778329</v>
      </c>
      <c r="BE67" s="808">
        <v>22302.6</v>
      </c>
      <c r="BG67" s="808">
        <v>10511.335628572724</v>
      </c>
      <c r="BM67" s="821">
        <v>108353.2164</v>
      </c>
      <c r="BN67" s="821"/>
      <c r="BP67" s="808">
        <v>1481294.6963235307</v>
      </c>
      <c r="BQ67" s="808">
        <v>311</v>
      </c>
      <c r="BR67" s="814">
        <v>291</v>
      </c>
      <c r="BS67" s="814">
        <v>20</v>
      </c>
      <c r="BT67" s="814">
        <v>1453673.874928185</v>
      </c>
      <c r="BU67" s="814">
        <v>27620.821395345498</v>
      </c>
      <c r="BV67" s="814">
        <v>291</v>
      </c>
      <c r="BW67" s="814">
        <v>1381.0410697672748</v>
      </c>
      <c r="BY67" s="62">
        <v>82415</v>
      </c>
      <c r="BZ67" s="62">
        <v>174655.53168682597</v>
      </c>
      <c r="CA67" s="62">
        <v>8320.5460398406321</v>
      </c>
      <c r="CB67" s="62">
        <v>0</v>
      </c>
      <c r="CC67" s="62">
        <v>0</v>
      </c>
      <c r="CD67" s="62">
        <v>25145.999999999891</v>
      </c>
      <c r="CE67" s="62">
        <v>290537.07772666647</v>
      </c>
      <c r="CF67" s="62">
        <v>32.281897525185165</v>
      </c>
      <c r="CH67" s="62">
        <v>271811.26769066631</v>
      </c>
      <c r="CI67" s="62">
        <v>30.201251965629591</v>
      </c>
      <c r="CJ67" s="62">
        <v>2.080645559555574</v>
      </c>
      <c r="CK67" s="781"/>
      <c r="CL67" s="781"/>
      <c r="CM67" s="781"/>
      <c r="CN67" s="62">
        <v>1241171.2099961203</v>
      </c>
      <c r="CV67" s="62">
        <v>760896.27846829849</v>
      </c>
      <c r="CW67" s="62">
        <v>0</v>
      </c>
      <c r="CX67" s="62">
        <v>0</v>
      </c>
      <c r="CZ67" s="62">
        <v>6145.5316558441518</v>
      </c>
      <c r="DA67" s="62">
        <v>7921.2002922077954</v>
      </c>
      <c r="DB67" s="62">
        <v>5333.0845454545442</v>
      </c>
      <c r="DC67" s="62">
        <v>9295.6789285714276</v>
      </c>
      <c r="DD67" s="62">
        <v>187008.91451298696</v>
      </c>
      <c r="DE67" s="62">
        <v>0</v>
      </c>
      <c r="DN67" s="62">
        <v>22707.171471778329</v>
      </c>
      <c r="DO67" s="62">
        <v>0</v>
      </c>
      <c r="DP67" s="62">
        <v>0</v>
      </c>
      <c r="DR67" s="62">
        <v>760896.27846829849</v>
      </c>
      <c r="DS67" s="62">
        <v>0</v>
      </c>
      <c r="DT67" s="62">
        <v>0</v>
      </c>
      <c r="DV67" s="62">
        <v>783603.4499400768</v>
      </c>
      <c r="DW67" s="62">
        <v>0</v>
      </c>
      <c r="DX67" s="62">
        <v>0</v>
      </c>
      <c r="DZ67" s="62">
        <v>-19024.745701162443</v>
      </c>
      <c r="EB67" s="62">
        <v>1340127.5457667361</v>
      </c>
      <c r="EC67" s="62">
        <v>311</v>
      </c>
      <c r="ED67" s="62">
        <v>4309.091787031306</v>
      </c>
      <c r="EE67" s="62">
        <v>1256911.6049695748</v>
      </c>
      <c r="EF67" s="62">
        <v>290</v>
      </c>
      <c r="EG67" s="62">
        <v>4334.1779481709473</v>
      </c>
      <c r="EI67" s="62">
        <v>-25.086161139641263</v>
      </c>
      <c r="EJ67" s="62">
        <v>83215.940797161311</v>
      </c>
      <c r="EK67" s="62" t="s">
        <v>681</v>
      </c>
      <c r="EL67" s="789">
        <v>6.6206677118854085E-2</v>
      </c>
      <c r="EO67" s="62">
        <v>22707.171471778329</v>
      </c>
      <c r="ER67" s="62">
        <v>760896.27846829849</v>
      </c>
      <c r="ET67" s="62">
        <v>-73.013413092534819</v>
      </c>
      <c r="EX67" s="62">
        <v>1340127.5442949578</v>
      </c>
      <c r="EY67" s="62">
        <v>1322146.4642949577</v>
      </c>
      <c r="FA67" s="62">
        <v>1344853.635766736</v>
      </c>
    </row>
    <row r="68" spans="1:157" x14ac:dyDescent="0.2">
      <c r="A68" s="241" t="s">
        <v>56</v>
      </c>
      <c r="B68" s="793">
        <v>2429</v>
      </c>
      <c r="C68" s="241">
        <v>151</v>
      </c>
      <c r="D68" s="241">
        <v>0</v>
      </c>
      <c r="E68" s="241">
        <v>0</v>
      </c>
      <c r="F68" s="241">
        <v>151</v>
      </c>
      <c r="G68" s="241">
        <v>0</v>
      </c>
      <c r="H68" s="241">
        <v>0</v>
      </c>
      <c r="I68" s="241">
        <v>0</v>
      </c>
      <c r="J68" s="241">
        <v>151</v>
      </c>
      <c r="K68" s="241">
        <v>0</v>
      </c>
      <c r="L68" s="241">
        <v>0</v>
      </c>
      <c r="M68" s="241">
        <v>151</v>
      </c>
      <c r="N68" s="62">
        <v>369438.3860087237</v>
      </c>
      <c r="O68" s="241"/>
      <c r="P68" s="241">
        <v>47.731099999999998</v>
      </c>
      <c r="Q68" s="241">
        <v>0</v>
      </c>
      <c r="R68" s="241">
        <v>4.0536912751677825</v>
      </c>
      <c r="S68" s="241">
        <v>21.281879194630836</v>
      </c>
      <c r="T68" s="241">
        <v>105.39597315436241</v>
      </c>
      <c r="U68" s="241">
        <v>2.0268456375838912</v>
      </c>
      <c r="V68" s="241">
        <v>16.21476510067107</v>
      </c>
      <c r="W68" s="241">
        <v>196.70425436241598</v>
      </c>
      <c r="X68" s="241"/>
      <c r="Y68" s="241"/>
      <c r="Z68" s="241">
        <v>51391.598059000004</v>
      </c>
      <c r="AA68" s="241"/>
      <c r="AB68" s="794">
        <v>86574.988590603927</v>
      </c>
      <c r="AC68" s="794"/>
      <c r="AD68" s="795">
        <v>137966.58664960394</v>
      </c>
      <c r="AE68" s="241">
        <v>0</v>
      </c>
      <c r="AF68" s="120">
        <v>0</v>
      </c>
      <c r="AG68" s="120">
        <v>0</v>
      </c>
      <c r="AH68" s="795">
        <v>0</v>
      </c>
      <c r="AI68" s="120">
        <v>112.88349514563113</v>
      </c>
      <c r="AJ68" s="120">
        <v>0</v>
      </c>
      <c r="AK68" s="120">
        <v>105284.17825242724</v>
      </c>
      <c r="AL68" s="120">
        <v>0</v>
      </c>
      <c r="AM68" s="795">
        <v>105284.17825242724</v>
      </c>
      <c r="AN68" s="120">
        <v>5.9999999999999929</v>
      </c>
      <c r="AO68" s="120">
        <v>0</v>
      </c>
      <c r="AP68" s="795">
        <v>4571.9999999999945</v>
      </c>
      <c r="AQ68" s="795">
        <v>0</v>
      </c>
      <c r="AR68" s="795">
        <v>4571.9999999999945</v>
      </c>
      <c r="AS68" s="795">
        <v>100000</v>
      </c>
      <c r="AT68" s="120">
        <v>0</v>
      </c>
      <c r="AU68" s="120">
        <v>8811.92</v>
      </c>
      <c r="AV68" s="120">
        <v>0</v>
      </c>
      <c r="AW68" s="120">
        <v>726073.07091075485</v>
      </c>
      <c r="AY68" s="120">
        <v>0</v>
      </c>
      <c r="AZ68" s="120">
        <v>-1263.2738322073765</v>
      </c>
      <c r="BA68" s="120">
        <v>11025.025376972757</v>
      </c>
      <c r="BB68" s="120">
        <v>11025.03</v>
      </c>
      <c r="BC68" s="821">
        <v>735834.82245552028</v>
      </c>
      <c r="BD68" s="808">
        <v>-11025.025376972757</v>
      </c>
      <c r="BE68" s="808">
        <v>22302.6</v>
      </c>
      <c r="BG68" s="808">
        <v>0</v>
      </c>
      <c r="BI68" s="808">
        <v>3504</v>
      </c>
      <c r="BM68" s="821">
        <v>134931.11180000001</v>
      </c>
      <c r="BN68" s="821"/>
      <c r="BP68" s="808">
        <v>885547.50887854747</v>
      </c>
      <c r="BQ68" s="808">
        <v>151</v>
      </c>
      <c r="BR68" s="814">
        <v>155</v>
      </c>
      <c r="BS68" s="814">
        <v>-4</v>
      </c>
      <c r="BT68" s="814">
        <v>900107.47914430103</v>
      </c>
      <c r="BU68" s="814">
        <v>-14559.970265753567</v>
      </c>
      <c r="BV68" s="814">
        <v>155</v>
      </c>
      <c r="BW68" s="814">
        <v>3639.9925664383918</v>
      </c>
      <c r="BY68" s="62">
        <v>40015</v>
      </c>
      <c r="BZ68" s="62">
        <v>55186.634659841577</v>
      </c>
      <c r="CA68" s="62">
        <v>47377.88021359226</v>
      </c>
      <c r="CB68" s="62">
        <v>0</v>
      </c>
      <c r="CC68" s="62">
        <v>0</v>
      </c>
      <c r="CD68" s="62">
        <v>4571.9999999999945</v>
      </c>
      <c r="CE68" s="62">
        <v>147151.51487343383</v>
      </c>
      <c r="CF68" s="62">
        <v>16.350168319270427</v>
      </c>
      <c r="CH68" s="62">
        <v>117718.95073204297</v>
      </c>
      <c r="CI68" s="62">
        <v>13.079883414671441</v>
      </c>
      <c r="CJ68" s="62">
        <v>3.2702849045989861</v>
      </c>
      <c r="CK68" s="781"/>
      <c r="CL68" s="781"/>
      <c r="CM68" s="781"/>
      <c r="CN68" s="62">
        <v>617261.15091075492</v>
      </c>
      <c r="CV68" s="62">
        <v>369438.3860087237</v>
      </c>
      <c r="CW68" s="62">
        <v>0</v>
      </c>
      <c r="CX68" s="62">
        <v>0</v>
      </c>
      <c r="CZ68" s="62">
        <v>0</v>
      </c>
      <c r="DA68" s="62">
        <v>1096.5640268456368</v>
      </c>
      <c r="DB68" s="62">
        <v>8646.4018791946146</v>
      </c>
      <c r="DC68" s="62">
        <v>57075.081342281876</v>
      </c>
      <c r="DD68" s="62">
        <v>2195.2157046979851</v>
      </c>
      <c r="DE68" s="62">
        <v>17561.725637583815</v>
      </c>
      <c r="DN68" s="62">
        <v>11025.025376972757</v>
      </c>
      <c r="DO68" s="62">
        <v>0</v>
      </c>
      <c r="DP68" s="62">
        <v>0</v>
      </c>
      <c r="DR68" s="62">
        <v>369438.3860087237</v>
      </c>
      <c r="DS68" s="62">
        <v>0</v>
      </c>
      <c r="DT68" s="62">
        <v>0</v>
      </c>
      <c r="DV68" s="62">
        <v>380463.41138569644</v>
      </c>
      <c r="DW68" s="62">
        <v>0</v>
      </c>
      <c r="DX68" s="62">
        <v>0</v>
      </c>
      <c r="DZ68" s="62">
        <v>-1263.2738322073765</v>
      </c>
      <c r="EB68" s="62">
        <v>724809.79245552013</v>
      </c>
      <c r="EC68" s="62">
        <v>151</v>
      </c>
      <c r="ED68" s="62">
        <v>4800.0648506988091</v>
      </c>
      <c r="EE68" s="62">
        <v>724470.87707854749</v>
      </c>
      <c r="EF68" s="62">
        <v>151</v>
      </c>
      <c r="EG68" s="62">
        <v>4797.8203780036256</v>
      </c>
      <c r="EI68" s="62">
        <v>2.2444726951835037</v>
      </c>
      <c r="EJ68" s="62">
        <v>338.91537697263993</v>
      </c>
      <c r="EK68" s="62" t="s">
        <v>681</v>
      </c>
      <c r="EL68" s="789">
        <v>4.6781090544222742E-4</v>
      </c>
      <c r="EO68" s="62">
        <v>11025.025376972757</v>
      </c>
      <c r="ER68" s="62">
        <v>369438.3860087237</v>
      </c>
      <c r="ET68" s="62">
        <v>-73.013413092534819</v>
      </c>
      <c r="EX68" s="62">
        <v>724809.79707854742</v>
      </c>
      <c r="EY68" s="62">
        <v>715997.87707854738</v>
      </c>
      <c r="FA68" s="62">
        <v>727022.90245552012</v>
      </c>
    </row>
    <row r="69" spans="1:157" x14ac:dyDescent="0.2">
      <c r="A69" s="241" t="s">
        <v>57</v>
      </c>
      <c r="B69" s="793">
        <v>2444</v>
      </c>
      <c r="C69" s="241">
        <v>209</v>
      </c>
      <c r="D69" s="241">
        <v>0</v>
      </c>
      <c r="E69" s="241">
        <v>0</v>
      </c>
      <c r="F69" s="241">
        <v>209</v>
      </c>
      <c r="G69" s="241">
        <v>0</v>
      </c>
      <c r="H69" s="241">
        <v>0</v>
      </c>
      <c r="I69" s="241">
        <v>0</v>
      </c>
      <c r="J69" s="241">
        <v>209</v>
      </c>
      <c r="K69" s="241">
        <v>0</v>
      </c>
      <c r="L69" s="241">
        <v>0</v>
      </c>
      <c r="M69" s="241">
        <v>209</v>
      </c>
      <c r="N69" s="62">
        <v>511341.87202531955</v>
      </c>
      <c r="O69" s="241"/>
      <c r="P69" s="241">
        <v>48.989600000000003</v>
      </c>
      <c r="Q69" s="241">
        <v>30.289855072463759</v>
      </c>
      <c r="R69" s="241">
        <v>46.444444444444393</v>
      </c>
      <c r="S69" s="241">
        <v>6.0579710144927512</v>
      </c>
      <c r="T69" s="241">
        <v>60.579710144927517</v>
      </c>
      <c r="U69" s="241">
        <v>19.183574879227059</v>
      </c>
      <c r="V69" s="241">
        <v>14.135265700483094</v>
      </c>
      <c r="W69" s="241">
        <v>225.68042125603856</v>
      </c>
      <c r="X69" s="241"/>
      <c r="Y69" s="241"/>
      <c r="Z69" s="241">
        <v>52746.612424000006</v>
      </c>
      <c r="AA69" s="241"/>
      <c r="AB69" s="794">
        <v>88013.989130434769</v>
      </c>
      <c r="AC69" s="794"/>
      <c r="AD69" s="795">
        <v>140760.60155443478</v>
      </c>
      <c r="AE69" s="241">
        <v>1</v>
      </c>
      <c r="AF69" s="120">
        <v>1657</v>
      </c>
      <c r="AG69" s="120">
        <v>0</v>
      </c>
      <c r="AH69" s="795">
        <v>0</v>
      </c>
      <c r="AI69" s="120">
        <v>12.028776978417271</v>
      </c>
      <c r="AJ69" s="120">
        <v>0</v>
      </c>
      <c r="AK69" s="120">
        <v>11218.999712230219</v>
      </c>
      <c r="AL69" s="120">
        <v>0</v>
      </c>
      <c r="AM69" s="795">
        <v>11218.999712230219</v>
      </c>
      <c r="AN69" s="120">
        <v>0.99999999999999978</v>
      </c>
      <c r="AO69" s="120">
        <v>0</v>
      </c>
      <c r="AP69" s="795">
        <v>761.99999999999989</v>
      </c>
      <c r="AQ69" s="795">
        <v>0</v>
      </c>
      <c r="AR69" s="795">
        <v>761.99999999999989</v>
      </c>
      <c r="AS69" s="795">
        <v>100000</v>
      </c>
      <c r="AT69" s="120">
        <v>0</v>
      </c>
      <c r="AU69" s="120">
        <v>9169.16</v>
      </c>
      <c r="AV69" s="120">
        <v>0</v>
      </c>
      <c r="AW69" s="120">
        <v>774909.63329198456</v>
      </c>
      <c r="AY69" s="120">
        <v>6731.2450030704495</v>
      </c>
      <c r="AZ69" s="120">
        <v>0</v>
      </c>
      <c r="BA69" s="120">
        <v>15259.803336339777</v>
      </c>
      <c r="BB69" s="120">
        <v>15259.8</v>
      </c>
      <c r="BC69" s="821">
        <v>796900.68163139478</v>
      </c>
      <c r="BD69" s="808">
        <v>-15259.803336339777</v>
      </c>
      <c r="BE69" s="808">
        <v>33453.899999999994</v>
      </c>
      <c r="BG69" s="808">
        <v>14891.058807144689</v>
      </c>
      <c r="BI69" s="808">
        <v>15017</v>
      </c>
      <c r="BM69" s="821">
        <v>115358.1342</v>
      </c>
      <c r="BN69" s="821"/>
      <c r="BP69" s="808">
        <v>960360.97130219964</v>
      </c>
      <c r="BQ69" s="808">
        <v>209</v>
      </c>
      <c r="BR69" s="814">
        <v>209</v>
      </c>
      <c r="BS69" s="827">
        <v>0</v>
      </c>
      <c r="BT69" s="814">
        <v>971269.63961266226</v>
      </c>
      <c r="BU69" s="827">
        <v>-10908.668310462614</v>
      </c>
      <c r="BV69" s="814">
        <v>209</v>
      </c>
      <c r="BW69" s="814" t="e">
        <v>#DIV/0!</v>
      </c>
      <c r="BY69" s="62">
        <v>55385</v>
      </c>
      <c r="BZ69" s="62">
        <v>56304.240621773912</v>
      </c>
      <c r="CA69" s="62">
        <v>5048.5498705035989</v>
      </c>
      <c r="CB69" s="62">
        <v>1657</v>
      </c>
      <c r="CC69" s="62">
        <v>0</v>
      </c>
      <c r="CD69" s="62">
        <v>761.99999999999989</v>
      </c>
      <c r="CE69" s="62">
        <v>119156.79049227751</v>
      </c>
      <c r="CF69" s="62">
        <v>13.239643388030833</v>
      </c>
      <c r="CH69" s="62">
        <v>94824.631713971015</v>
      </c>
      <c r="CI69" s="62">
        <v>10.536070190441224</v>
      </c>
      <c r="CJ69" s="62">
        <v>2.7035731975896091</v>
      </c>
      <c r="CK69" s="781"/>
      <c r="CL69" s="781"/>
      <c r="CM69" s="781"/>
      <c r="CN69" s="62">
        <v>665740.47329198453</v>
      </c>
      <c r="CV69" s="62">
        <v>511341.87202531955</v>
      </c>
      <c r="CW69" s="62">
        <v>0</v>
      </c>
      <c r="CX69" s="62">
        <v>0</v>
      </c>
      <c r="CZ69" s="62">
        <v>4096.7028985507231</v>
      </c>
      <c r="DA69" s="62">
        <v>12563.686666666652</v>
      </c>
      <c r="DB69" s="62">
        <v>2461.2324637681149</v>
      </c>
      <c r="DC69" s="62">
        <v>32805.730434782599</v>
      </c>
      <c r="DD69" s="62">
        <v>20777.154444444452</v>
      </c>
      <c r="DE69" s="62">
        <v>15309.482222222225</v>
      </c>
      <c r="DN69" s="62">
        <v>15259.803336339777</v>
      </c>
      <c r="DO69" s="62">
        <v>0</v>
      </c>
      <c r="DP69" s="62">
        <v>0</v>
      </c>
      <c r="DR69" s="62">
        <v>511341.87202531955</v>
      </c>
      <c r="DS69" s="62">
        <v>0</v>
      </c>
      <c r="DT69" s="62">
        <v>0</v>
      </c>
      <c r="DV69" s="62">
        <v>526601.67536165938</v>
      </c>
      <c r="DW69" s="62">
        <v>0</v>
      </c>
      <c r="DX69" s="62">
        <v>0</v>
      </c>
      <c r="DZ69" s="62">
        <v>6731.2450030704495</v>
      </c>
      <c r="EB69" s="62">
        <v>781640.88163139473</v>
      </c>
      <c r="EC69" s="62">
        <v>209</v>
      </c>
      <c r="ED69" s="62">
        <v>3739.9085245521278</v>
      </c>
      <c r="EE69" s="62">
        <v>791528.90436046186</v>
      </c>
      <c r="EF69" s="62">
        <v>209</v>
      </c>
      <c r="EG69" s="62">
        <v>3787.2196380883342</v>
      </c>
      <c r="EI69" s="62">
        <v>-47.311113536206449</v>
      </c>
      <c r="EJ69" s="62">
        <v>-9888.0227290671319</v>
      </c>
      <c r="EK69" s="62" t="s">
        <v>616</v>
      </c>
      <c r="EL69" s="789">
        <v>-1.2492307829309707E-2</v>
      </c>
      <c r="EO69" s="62">
        <v>15259.803336339777</v>
      </c>
      <c r="ER69" s="62">
        <v>511341.87202531961</v>
      </c>
      <c r="ET69" s="62">
        <v>-73.013413092534819</v>
      </c>
      <c r="EX69" s="62">
        <v>781640.87829505501</v>
      </c>
      <c r="EY69" s="62">
        <v>772471.71829505498</v>
      </c>
      <c r="FA69" s="62">
        <v>787731.52163139475</v>
      </c>
    </row>
    <row r="70" spans="1:157" x14ac:dyDescent="0.2">
      <c r="A70" s="241" t="s">
        <v>58</v>
      </c>
      <c r="B70" s="793">
        <v>5209</v>
      </c>
      <c r="C70" s="241">
        <v>279</v>
      </c>
      <c r="D70" s="241">
        <v>0</v>
      </c>
      <c r="E70" s="241">
        <v>0</v>
      </c>
      <c r="F70" s="241">
        <v>279</v>
      </c>
      <c r="G70" s="241">
        <v>0</v>
      </c>
      <c r="H70" s="241">
        <v>0</v>
      </c>
      <c r="I70" s="241">
        <v>0</v>
      </c>
      <c r="J70" s="241">
        <v>279</v>
      </c>
      <c r="K70" s="241">
        <v>0</v>
      </c>
      <c r="L70" s="241">
        <v>0</v>
      </c>
      <c r="M70" s="241">
        <v>279</v>
      </c>
      <c r="N70" s="62">
        <v>682604.69997638359</v>
      </c>
      <c r="O70" s="241"/>
      <c r="P70" s="241">
        <v>119.27249999999999</v>
      </c>
      <c r="Q70" s="241">
        <v>41.445652173912997</v>
      </c>
      <c r="R70" s="241">
        <v>52.565217391304273</v>
      </c>
      <c r="S70" s="241">
        <v>12.130434782608692</v>
      </c>
      <c r="T70" s="241">
        <v>68.739130434782638</v>
      </c>
      <c r="U70" s="241">
        <v>28.304347826087</v>
      </c>
      <c r="V70" s="241">
        <v>24.260869565217384</v>
      </c>
      <c r="W70" s="241">
        <v>346.71815217391293</v>
      </c>
      <c r="X70" s="241"/>
      <c r="Y70" s="241"/>
      <c r="Z70" s="241">
        <v>128419.508025</v>
      </c>
      <c r="AA70" s="241"/>
      <c r="AB70" s="794">
        <v>118909.40576086959</v>
      </c>
      <c r="AC70" s="794"/>
      <c r="AD70" s="795">
        <v>247328.9137858696</v>
      </c>
      <c r="AE70" s="241">
        <v>1.037174721189591</v>
      </c>
      <c r="AF70" s="120">
        <v>1718.5985130111521</v>
      </c>
      <c r="AG70" s="120">
        <v>0</v>
      </c>
      <c r="AH70" s="795">
        <v>0</v>
      </c>
      <c r="AI70" s="120">
        <v>2.0000000000000009</v>
      </c>
      <c r="AJ70" s="120">
        <v>0</v>
      </c>
      <c r="AK70" s="120">
        <v>1865.3600000000008</v>
      </c>
      <c r="AL70" s="120">
        <v>0</v>
      </c>
      <c r="AM70" s="795">
        <v>1865.3600000000008</v>
      </c>
      <c r="AN70" s="120">
        <v>19.000000000000011</v>
      </c>
      <c r="AO70" s="120">
        <v>0</v>
      </c>
      <c r="AP70" s="795">
        <v>14478.000000000007</v>
      </c>
      <c r="AQ70" s="795">
        <v>0</v>
      </c>
      <c r="AR70" s="795">
        <v>14478.000000000007</v>
      </c>
      <c r="AS70" s="795">
        <v>100000</v>
      </c>
      <c r="AT70" s="120">
        <v>0</v>
      </c>
      <c r="AU70" s="120">
        <v>2300.3760000000002</v>
      </c>
      <c r="AV70" s="120">
        <v>0</v>
      </c>
      <c r="AW70" s="120">
        <v>1050295.9482752644</v>
      </c>
      <c r="AY70" s="120">
        <v>0</v>
      </c>
      <c r="AZ70" s="120">
        <v>0</v>
      </c>
      <c r="BA70" s="120">
        <v>20370.742252817214</v>
      </c>
      <c r="BB70" s="120">
        <v>20370.740000000002</v>
      </c>
      <c r="BC70" s="821">
        <v>1070666.6905280815</v>
      </c>
      <c r="BD70" s="808">
        <v>-20370.742252817214</v>
      </c>
      <c r="BE70" s="808">
        <v>0</v>
      </c>
      <c r="BG70" s="808">
        <v>6006.4775020415564</v>
      </c>
      <c r="BI70" s="808">
        <v>2002</v>
      </c>
      <c r="BM70" s="821">
        <v>0</v>
      </c>
      <c r="BN70" s="821"/>
      <c r="BP70" s="808">
        <v>1058304.4257773058</v>
      </c>
      <c r="BQ70" s="808">
        <v>279</v>
      </c>
      <c r="BR70" s="814">
        <v>269</v>
      </c>
      <c r="BS70" s="814">
        <v>10</v>
      </c>
      <c r="BT70" s="814">
        <v>1016666.9657601618</v>
      </c>
      <c r="BU70" s="814">
        <v>41637.460017144098</v>
      </c>
      <c r="BV70" s="814">
        <v>269</v>
      </c>
      <c r="BW70" s="814">
        <v>4163.7460017144094</v>
      </c>
      <c r="BY70" s="62">
        <v>73935</v>
      </c>
      <c r="BZ70" s="62">
        <v>98931.565514347851</v>
      </c>
      <c r="CA70" s="62">
        <v>839.41200000000038</v>
      </c>
      <c r="CB70" s="62">
        <v>1718.5985130111521</v>
      </c>
      <c r="CC70" s="62">
        <v>0</v>
      </c>
      <c r="CD70" s="62">
        <v>14478.000000000007</v>
      </c>
      <c r="CE70" s="62">
        <v>189902.57602735903</v>
      </c>
      <c r="CF70" s="62">
        <v>21.100286225262114</v>
      </c>
      <c r="CH70" s="62">
        <v>127317.2549385211</v>
      </c>
      <c r="CI70" s="62">
        <v>14.146361659835678</v>
      </c>
      <c r="CJ70" s="62">
        <v>6.9539245654264352</v>
      </c>
      <c r="CK70" s="781"/>
      <c r="CL70" s="781"/>
      <c r="CM70" s="781"/>
      <c r="CN70" s="62">
        <v>947995.57227526431</v>
      </c>
      <c r="CV70" s="62">
        <v>682604.69997638359</v>
      </c>
      <c r="CW70" s="62">
        <v>0</v>
      </c>
      <c r="CX70" s="62">
        <v>0</v>
      </c>
      <c r="CZ70" s="62">
        <v>5605.5244565217326</v>
      </c>
      <c r="DA70" s="62">
        <v>14219.416956521718</v>
      </c>
      <c r="DB70" s="62">
        <v>4928.3530434782588</v>
      </c>
      <c r="DC70" s="62">
        <v>37224.301304347842</v>
      </c>
      <c r="DD70" s="62">
        <v>30655.590000000044</v>
      </c>
      <c r="DE70" s="62">
        <v>26276.21999999999</v>
      </c>
      <c r="DN70" s="62">
        <v>20370.742252817214</v>
      </c>
      <c r="DO70" s="62">
        <v>0</v>
      </c>
      <c r="DP70" s="62">
        <v>0</v>
      </c>
      <c r="DR70" s="62">
        <v>682604.69997638359</v>
      </c>
      <c r="DS70" s="62">
        <v>0</v>
      </c>
      <c r="DT70" s="62">
        <v>0</v>
      </c>
      <c r="DV70" s="62">
        <v>702975.44222920085</v>
      </c>
      <c r="DW70" s="62">
        <v>0</v>
      </c>
      <c r="DX70" s="62">
        <v>0</v>
      </c>
      <c r="DZ70" s="62">
        <v>0</v>
      </c>
      <c r="EB70" s="62">
        <v>1050295.9505280815</v>
      </c>
      <c r="EC70" s="62">
        <v>279</v>
      </c>
      <c r="ED70" s="62">
        <v>3764.5016147959909</v>
      </c>
      <c r="EE70" s="62">
        <v>1012287.2425815897</v>
      </c>
      <c r="EF70" s="62">
        <v>265</v>
      </c>
      <c r="EG70" s="62">
        <v>3819.9518587984517</v>
      </c>
      <c r="EI70" s="62">
        <v>-55.450244002460749</v>
      </c>
      <c r="EJ70" s="62">
        <v>38008.707946491777</v>
      </c>
      <c r="EK70" s="62" t="s">
        <v>681</v>
      </c>
      <c r="EL70" s="789">
        <v>3.7547354493532796E-2</v>
      </c>
      <c r="EO70" s="62">
        <v>20370.742252817214</v>
      </c>
      <c r="ER70" s="62">
        <v>682604.69997638359</v>
      </c>
      <c r="ET70" s="62">
        <v>-73.013413092534819</v>
      </c>
      <c r="EX70" s="62">
        <v>1050295.9482752644</v>
      </c>
      <c r="EY70" s="62">
        <v>1047995.5722752643</v>
      </c>
      <c r="FA70" s="62">
        <v>1068366.3145280816</v>
      </c>
    </row>
    <row r="71" spans="1:157" x14ac:dyDescent="0.2">
      <c r="A71" s="241" t="s">
        <v>59</v>
      </c>
      <c r="B71" s="793">
        <v>2469</v>
      </c>
      <c r="C71" s="241">
        <v>386</v>
      </c>
      <c r="D71" s="241">
        <v>0</v>
      </c>
      <c r="E71" s="241">
        <v>0</v>
      </c>
      <c r="F71" s="241">
        <v>386</v>
      </c>
      <c r="G71" s="241">
        <v>0</v>
      </c>
      <c r="H71" s="241">
        <v>0</v>
      </c>
      <c r="I71" s="241">
        <v>0</v>
      </c>
      <c r="J71" s="241">
        <v>386</v>
      </c>
      <c r="K71" s="241">
        <v>0</v>
      </c>
      <c r="L71" s="241">
        <v>0</v>
      </c>
      <c r="M71" s="241">
        <v>386</v>
      </c>
      <c r="N71" s="62">
        <v>944392.1655587242</v>
      </c>
      <c r="O71" s="241"/>
      <c r="P71" s="241">
        <v>54.078600000000002</v>
      </c>
      <c r="Q71" s="241">
        <v>11.086161879895567</v>
      </c>
      <c r="R71" s="241">
        <v>15.117493472584856</v>
      </c>
      <c r="S71" s="241">
        <v>21.164490861618791</v>
      </c>
      <c r="T71" s="241">
        <v>7.0548302872062774</v>
      </c>
      <c r="U71" s="241">
        <v>9.0704960835509212</v>
      </c>
      <c r="V71" s="241">
        <v>0</v>
      </c>
      <c r="W71" s="241">
        <v>117.5720725848564</v>
      </c>
      <c r="X71" s="241"/>
      <c r="Y71" s="241"/>
      <c r="Z71" s="241">
        <v>58225.887834000001</v>
      </c>
      <c r="AA71" s="241"/>
      <c r="AB71" s="794">
        <v>27831.930339425599</v>
      </c>
      <c r="AC71" s="794"/>
      <c r="AD71" s="795">
        <v>86057.818173425592</v>
      </c>
      <c r="AE71" s="241">
        <v>1.0604395604395604</v>
      </c>
      <c r="AF71" s="120">
        <v>1757.1483516483518</v>
      </c>
      <c r="AG71" s="120">
        <v>0</v>
      </c>
      <c r="AH71" s="795">
        <v>0</v>
      </c>
      <c r="AI71" s="120">
        <v>6.9341317365269362</v>
      </c>
      <c r="AJ71" s="120">
        <v>0</v>
      </c>
      <c r="AK71" s="120">
        <v>6467.325988023942</v>
      </c>
      <c r="AL71" s="120">
        <v>0</v>
      </c>
      <c r="AM71" s="795">
        <v>6467.325988023942</v>
      </c>
      <c r="AN71" s="120">
        <v>59.999999999999986</v>
      </c>
      <c r="AO71" s="120">
        <v>0</v>
      </c>
      <c r="AP71" s="795">
        <v>45719.999999999993</v>
      </c>
      <c r="AQ71" s="795">
        <v>0</v>
      </c>
      <c r="AR71" s="795">
        <v>45719.999999999993</v>
      </c>
      <c r="AS71" s="795">
        <v>100000</v>
      </c>
      <c r="AT71" s="120">
        <v>0</v>
      </c>
      <c r="AU71" s="120">
        <v>13932.36</v>
      </c>
      <c r="AV71" s="120">
        <v>0</v>
      </c>
      <c r="AW71" s="120">
        <v>1198326.8180718222</v>
      </c>
      <c r="AY71" s="120">
        <v>28786.805613537086</v>
      </c>
      <c r="AZ71" s="120">
        <v>0</v>
      </c>
      <c r="BA71" s="120">
        <v>28183.177453718439</v>
      </c>
      <c r="BB71" s="120">
        <v>28183.18</v>
      </c>
      <c r="BC71" s="821">
        <v>1255296.8011390776</v>
      </c>
      <c r="BD71" s="808">
        <v>-28183.177453718439</v>
      </c>
      <c r="BE71" s="808">
        <v>33453.899999999994</v>
      </c>
      <c r="BG71" s="808">
        <v>10511.335628572724</v>
      </c>
      <c r="BH71" s="808">
        <v>9009.7162530623336</v>
      </c>
      <c r="BI71" s="808">
        <v>9636</v>
      </c>
      <c r="BM71" s="821">
        <v>0</v>
      </c>
      <c r="BN71" s="821"/>
      <c r="BP71" s="808">
        <v>1289724.575566994</v>
      </c>
      <c r="BQ71" s="808">
        <v>386</v>
      </c>
      <c r="BR71" s="814">
        <v>364</v>
      </c>
      <c r="BS71" s="814">
        <v>22</v>
      </c>
      <c r="BT71" s="814">
        <v>1216693.7480312663</v>
      </c>
      <c r="BU71" s="814">
        <v>73030.82753572776</v>
      </c>
      <c r="BV71" s="814">
        <v>364</v>
      </c>
      <c r="BW71" s="814">
        <v>3319.5830698058071</v>
      </c>
      <c r="BY71" s="62">
        <v>102290</v>
      </c>
      <c r="BZ71" s="62">
        <v>34423.127269370241</v>
      </c>
      <c r="CA71" s="62">
        <v>2910.296694610774</v>
      </c>
      <c r="CB71" s="62">
        <v>1757.1483516483518</v>
      </c>
      <c r="CC71" s="62">
        <v>0</v>
      </c>
      <c r="CD71" s="62">
        <v>45719.999999999993</v>
      </c>
      <c r="CE71" s="62">
        <v>187100.57231562937</v>
      </c>
      <c r="CF71" s="62">
        <v>20.788952479514375</v>
      </c>
      <c r="CH71" s="62">
        <v>108108.90791141952</v>
      </c>
      <c r="CI71" s="62">
        <v>12.012100879046613</v>
      </c>
      <c r="CJ71" s="62">
        <v>8.7768516004677615</v>
      </c>
      <c r="CK71" s="781"/>
      <c r="CL71" s="781"/>
      <c r="CM71" s="781"/>
      <c r="CN71" s="62">
        <v>1084394.4580718221</v>
      </c>
      <c r="CV71" s="62">
        <v>944392.1655587242</v>
      </c>
      <c r="CW71" s="62">
        <v>0</v>
      </c>
      <c r="CX71" s="62">
        <v>0</v>
      </c>
      <c r="CZ71" s="62">
        <v>1499.4033942558754</v>
      </c>
      <c r="DA71" s="62">
        <v>4089.4331592689291</v>
      </c>
      <c r="DB71" s="62">
        <v>8598.709347258482</v>
      </c>
      <c r="DC71" s="62">
        <v>3820.4022454308151</v>
      </c>
      <c r="DD71" s="62">
        <v>9823.9821932114955</v>
      </c>
      <c r="DE71" s="62">
        <v>0</v>
      </c>
      <c r="DN71" s="62">
        <v>28183.177453718439</v>
      </c>
      <c r="DO71" s="62">
        <v>0</v>
      </c>
      <c r="DP71" s="62">
        <v>0</v>
      </c>
      <c r="DR71" s="62">
        <v>944392.1655587242</v>
      </c>
      <c r="DS71" s="62">
        <v>0</v>
      </c>
      <c r="DT71" s="62">
        <v>0</v>
      </c>
      <c r="DV71" s="62">
        <v>972575.34301244258</v>
      </c>
      <c r="DW71" s="62">
        <v>0</v>
      </c>
      <c r="DX71" s="62">
        <v>0</v>
      </c>
      <c r="DZ71" s="62">
        <v>28786.805613537086</v>
      </c>
      <c r="EB71" s="62">
        <v>1227113.6211390777</v>
      </c>
      <c r="EC71" s="62">
        <v>386</v>
      </c>
      <c r="ED71" s="62">
        <v>3179.0508319665228</v>
      </c>
      <c r="EE71" s="62">
        <v>1158397.0804953908</v>
      </c>
      <c r="EF71" s="62">
        <v>360</v>
      </c>
      <c r="EG71" s="62">
        <v>3217.7696680427521</v>
      </c>
      <c r="EI71" s="62">
        <v>-38.718836076229309</v>
      </c>
      <c r="EJ71" s="62">
        <v>68716.540643686894</v>
      </c>
      <c r="EK71" s="62" t="s">
        <v>681</v>
      </c>
      <c r="EL71" s="789">
        <v>5.9320367601669137E-2</v>
      </c>
      <c r="EO71" s="62">
        <v>28183.177453718439</v>
      </c>
      <c r="ER71" s="62">
        <v>944392.1655587242</v>
      </c>
      <c r="ET71" s="62">
        <v>-73.013413092534819</v>
      </c>
      <c r="EX71" s="62">
        <v>1227113.6236853593</v>
      </c>
      <c r="EY71" s="62">
        <v>1213181.2636853592</v>
      </c>
      <c r="FA71" s="62">
        <v>1241364.4411390775</v>
      </c>
    </row>
    <row r="72" spans="1:157" x14ac:dyDescent="0.2">
      <c r="A72" s="241" t="s">
        <v>60</v>
      </c>
      <c r="B72" s="793">
        <v>2430</v>
      </c>
      <c r="C72" s="241">
        <v>112</v>
      </c>
      <c r="D72" s="241">
        <v>0</v>
      </c>
      <c r="E72" s="241">
        <v>0</v>
      </c>
      <c r="F72" s="241">
        <v>112</v>
      </c>
      <c r="G72" s="241">
        <v>0</v>
      </c>
      <c r="H72" s="241">
        <v>0</v>
      </c>
      <c r="I72" s="241">
        <v>0</v>
      </c>
      <c r="J72" s="241">
        <v>112</v>
      </c>
      <c r="K72" s="241">
        <v>0</v>
      </c>
      <c r="L72" s="241">
        <v>0</v>
      </c>
      <c r="M72" s="241">
        <v>112</v>
      </c>
      <c r="N72" s="62">
        <v>274020.52472170233</v>
      </c>
      <c r="O72" s="241"/>
      <c r="P72" s="241">
        <v>61.454399999999993</v>
      </c>
      <c r="Q72" s="241">
        <v>2.0000000000000049</v>
      </c>
      <c r="R72" s="241">
        <v>0</v>
      </c>
      <c r="S72" s="241">
        <v>39.999999999999986</v>
      </c>
      <c r="T72" s="241">
        <v>3.9999999999999982</v>
      </c>
      <c r="U72" s="241">
        <v>0</v>
      </c>
      <c r="V72" s="241">
        <v>65.000000000000014</v>
      </c>
      <c r="W72" s="241">
        <v>172.45440000000002</v>
      </c>
      <c r="X72" s="241"/>
      <c r="Y72" s="241"/>
      <c r="Z72" s="241">
        <v>66167.337935999996</v>
      </c>
      <c r="AA72" s="241"/>
      <c r="AB72" s="794">
        <v>89087.37000000001</v>
      </c>
      <c r="AC72" s="794"/>
      <c r="AD72" s="795">
        <v>155254.70793600002</v>
      </c>
      <c r="AE72" s="241">
        <v>0</v>
      </c>
      <c r="AF72" s="120">
        <v>0</v>
      </c>
      <c r="AG72" s="120">
        <v>0</v>
      </c>
      <c r="AH72" s="795">
        <v>0</v>
      </c>
      <c r="AI72" s="120">
        <v>30.434782608695695</v>
      </c>
      <c r="AJ72" s="120">
        <v>0</v>
      </c>
      <c r="AK72" s="120">
        <v>28385.9130434783</v>
      </c>
      <c r="AL72" s="120">
        <v>0</v>
      </c>
      <c r="AM72" s="795">
        <v>28385.9130434783</v>
      </c>
      <c r="AN72" s="120">
        <v>18.000000000000032</v>
      </c>
      <c r="AO72" s="120">
        <v>0</v>
      </c>
      <c r="AP72" s="795">
        <v>13716.000000000024</v>
      </c>
      <c r="AQ72" s="795">
        <v>0</v>
      </c>
      <c r="AR72" s="795">
        <v>13716.000000000024</v>
      </c>
      <c r="AS72" s="795">
        <v>100000</v>
      </c>
      <c r="AT72" s="120">
        <v>0</v>
      </c>
      <c r="AU72" s="120">
        <v>19171.88</v>
      </c>
      <c r="AV72" s="120">
        <v>21538.503720649722</v>
      </c>
      <c r="AW72" s="120">
        <v>612087.52942183043</v>
      </c>
      <c r="AY72" s="120">
        <v>9838.9518841683748</v>
      </c>
      <c r="AZ72" s="120">
        <v>0</v>
      </c>
      <c r="BA72" s="120">
        <v>8177.5022663638993</v>
      </c>
      <c r="BB72" s="120">
        <v>8177.5</v>
      </c>
      <c r="BC72" s="821">
        <v>630103.98357236269</v>
      </c>
      <c r="BD72" s="808">
        <v>-8177.5022663638993</v>
      </c>
      <c r="BE72" s="808">
        <v>11151.3</v>
      </c>
      <c r="BG72" s="808">
        <v>7257.8269816335478</v>
      </c>
      <c r="BI72" s="808">
        <v>8259</v>
      </c>
      <c r="BM72" s="821">
        <v>41373.562599999997</v>
      </c>
      <c r="BN72" s="821"/>
      <c r="BP72" s="808">
        <v>689968.1708876323</v>
      </c>
      <c r="BQ72" s="808">
        <v>112</v>
      </c>
      <c r="BR72" s="814">
        <v>113</v>
      </c>
      <c r="BS72" s="814">
        <v>-1</v>
      </c>
      <c r="BT72" s="814">
        <v>707614.15519092383</v>
      </c>
      <c r="BU72" s="814">
        <v>-17645.984303291538</v>
      </c>
      <c r="BV72" s="814">
        <v>113</v>
      </c>
      <c r="BW72" s="814">
        <v>17645.984303291538</v>
      </c>
      <c r="BY72" s="62">
        <v>29680</v>
      </c>
      <c r="BZ72" s="62">
        <v>62101.883174400013</v>
      </c>
      <c r="CA72" s="62">
        <v>12773.660869565236</v>
      </c>
      <c r="CB72" s="62">
        <v>0</v>
      </c>
      <c r="CC72" s="62">
        <v>0</v>
      </c>
      <c r="CD72" s="62">
        <v>13716.000000000024</v>
      </c>
      <c r="CE72" s="62">
        <v>118271.54404396529</v>
      </c>
      <c r="CF72" s="62">
        <v>13.141282671551698</v>
      </c>
      <c r="CH72" s="62">
        <v>96116.378588083258</v>
      </c>
      <c r="CI72" s="62">
        <v>10.679597620898139</v>
      </c>
      <c r="CJ72" s="62">
        <v>2.4616850506535588</v>
      </c>
      <c r="CK72" s="781"/>
      <c r="CL72" s="781"/>
      <c r="CM72" s="781"/>
      <c r="CN72" s="62">
        <v>471377.14570118068</v>
      </c>
      <c r="CV72" s="62">
        <v>274020.52472170233</v>
      </c>
      <c r="CW72" s="62">
        <v>0</v>
      </c>
      <c r="CX72" s="62">
        <v>0</v>
      </c>
      <c r="CZ72" s="62">
        <v>270.50000000000068</v>
      </c>
      <c r="DA72" s="62">
        <v>0</v>
      </c>
      <c r="DB72" s="62">
        <v>16251.199999999993</v>
      </c>
      <c r="DC72" s="62">
        <v>2166.119999999999</v>
      </c>
      <c r="DD72" s="62">
        <v>0</v>
      </c>
      <c r="DE72" s="62">
        <v>70399.550000000017</v>
      </c>
      <c r="DN72" s="62">
        <v>8177.5022663638993</v>
      </c>
      <c r="DO72" s="62">
        <v>0</v>
      </c>
      <c r="DP72" s="62">
        <v>0</v>
      </c>
      <c r="DR72" s="62">
        <v>274020.52472170233</v>
      </c>
      <c r="DS72" s="62">
        <v>0</v>
      </c>
      <c r="DT72" s="62">
        <v>0</v>
      </c>
      <c r="DV72" s="62">
        <v>282198.02698806621</v>
      </c>
      <c r="DW72" s="62">
        <v>0</v>
      </c>
      <c r="DX72" s="62">
        <v>0</v>
      </c>
      <c r="DZ72" s="62">
        <v>9838.9518841683748</v>
      </c>
      <c r="EB72" s="62">
        <v>621926.48357236269</v>
      </c>
      <c r="EC72" s="62">
        <v>112</v>
      </c>
      <c r="ED72" s="62">
        <v>5552.9150318960956</v>
      </c>
      <c r="EE72" s="62">
        <v>647074.21855960716</v>
      </c>
      <c r="EF72" s="62">
        <v>116</v>
      </c>
      <c r="EG72" s="62">
        <v>5578.2260220655789</v>
      </c>
      <c r="EI72" s="62">
        <v>-25.310990169483375</v>
      </c>
      <c r="EJ72" s="62">
        <v>-25147.734987244476</v>
      </c>
      <c r="EK72" s="62" t="s">
        <v>616</v>
      </c>
      <c r="EL72" s="789">
        <v>-3.8863756685011422E-2</v>
      </c>
      <c r="EM72" s="62" t="s">
        <v>996</v>
      </c>
      <c r="EO72" s="62">
        <v>8177.5022663638993</v>
      </c>
      <c r="ER72" s="62">
        <v>274020.52472170233</v>
      </c>
      <c r="ET72" s="62">
        <v>-73.013413092534819</v>
      </c>
      <c r="EX72" s="62">
        <v>621926.48130599875</v>
      </c>
      <c r="EY72" s="62">
        <v>602754.60130599875</v>
      </c>
      <c r="FA72" s="62">
        <v>610932.10357236268</v>
      </c>
    </row>
    <row r="73" spans="1:157" x14ac:dyDescent="0.2">
      <c r="A73" s="241" t="s">
        <v>61</v>
      </c>
      <c r="B73" s="793">
        <v>2466</v>
      </c>
      <c r="C73" s="241">
        <v>164</v>
      </c>
      <c r="D73" s="241">
        <v>0</v>
      </c>
      <c r="E73" s="241">
        <v>0</v>
      </c>
      <c r="F73" s="241">
        <v>164</v>
      </c>
      <c r="G73" s="241">
        <v>0</v>
      </c>
      <c r="H73" s="241">
        <v>0</v>
      </c>
      <c r="I73" s="241">
        <v>0</v>
      </c>
      <c r="J73" s="241">
        <v>164</v>
      </c>
      <c r="K73" s="241">
        <v>0</v>
      </c>
      <c r="L73" s="241">
        <v>0</v>
      </c>
      <c r="M73" s="241">
        <v>164</v>
      </c>
      <c r="N73" s="62">
        <v>401244.33977106417</v>
      </c>
      <c r="O73" s="241"/>
      <c r="P73" s="241">
        <v>46.690800000000003</v>
      </c>
      <c r="Q73" s="241">
        <v>39.239263803681048</v>
      </c>
      <c r="R73" s="241">
        <v>23.141104294478591</v>
      </c>
      <c r="S73" s="241">
        <v>6.0368098159509129</v>
      </c>
      <c r="T73" s="241">
        <v>9.0552147239263867</v>
      </c>
      <c r="U73" s="241">
        <v>4.0245398773006142</v>
      </c>
      <c r="V73" s="241">
        <v>0</v>
      </c>
      <c r="W73" s="241">
        <v>128.18773251533756</v>
      </c>
      <c r="X73" s="241"/>
      <c r="Y73" s="241"/>
      <c r="Z73" s="241">
        <v>50271.517452000007</v>
      </c>
      <c r="AA73" s="241"/>
      <c r="AB73" s="794">
        <v>23282.174478527635</v>
      </c>
      <c r="AC73" s="794"/>
      <c r="AD73" s="795">
        <v>73553.691930527639</v>
      </c>
      <c r="AE73" s="241">
        <v>0</v>
      </c>
      <c r="AF73" s="120">
        <v>0</v>
      </c>
      <c r="AG73" s="120">
        <v>0</v>
      </c>
      <c r="AH73" s="795">
        <v>0</v>
      </c>
      <c r="AI73" s="120">
        <v>2.4477611940298574</v>
      </c>
      <c r="AJ73" s="120">
        <v>0</v>
      </c>
      <c r="AK73" s="120">
        <v>2282.977910447767</v>
      </c>
      <c r="AL73" s="120">
        <v>0</v>
      </c>
      <c r="AM73" s="795">
        <v>2282.977910447767</v>
      </c>
      <c r="AN73" s="120">
        <v>19.999999999999979</v>
      </c>
      <c r="AO73" s="120">
        <v>0</v>
      </c>
      <c r="AP73" s="795">
        <v>15239.999999999984</v>
      </c>
      <c r="AQ73" s="795">
        <v>0</v>
      </c>
      <c r="AR73" s="795">
        <v>15239.999999999984</v>
      </c>
      <c r="AS73" s="795">
        <v>100000</v>
      </c>
      <c r="AT73" s="120">
        <v>0</v>
      </c>
      <c r="AU73" s="120">
        <v>11908</v>
      </c>
      <c r="AV73" s="120">
        <v>0</v>
      </c>
      <c r="AW73" s="120">
        <v>604229.00961203955</v>
      </c>
      <c r="AY73" s="120">
        <v>25389.117688323255</v>
      </c>
      <c r="AZ73" s="120">
        <v>0</v>
      </c>
      <c r="BA73" s="120">
        <v>11974.199747175709</v>
      </c>
      <c r="BB73" s="120">
        <v>11974.2</v>
      </c>
      <c r="BC73" s="821">
        <v>641592.32704753848</v>
      </c>
      <c r="BD73" s="808">
        <v>-11974.199747175709</v>
      </c>
      <c r="BE73" s="808">
        <v>11151.3</v>
      </c>
      <c r="BG73" s="808">
        <v>31534.006885718169</v>
      </c>
      <c r="BI73" s="808">
        <v>7508</v>
      </c>
      <c r="BM73" s="821">
        <v>0</v>
      </c>
      <c r="BN73" s="821"/>
      <c r="BP73" s="808">
        <v>679811.43418608105</v>
      </c>
      <c r="BQ73" s="808">
        <v>164</v>
      </c>
      <c r="BR73" s="814">
        <v>137</v>
      </c>
      <c r="BS73" s="814">
        <v>27</v>
      </c>
      <c r="BT73" s="814">
        <v>574311.92216665018</v>
      </c>
      <c r="BU73" s="814">
        <v>105499.51201943087</v>
      </c>
      <c r="BV73" s="814">
        <v>137</v>
      </c>
      <c r="BW73" s="814">
        <v>3907.3893340529953</v>
      </c>
      <c r="BY73" s="62">
        <v>43460</v>
      </c>
      <c r="BZ73" s="62">
        <v>29421.476772211056</v>
      </c>
      <c r="CA73" s="62">
        <v>1027.3400597014952</v>
      </c>
      <c r="CB73" s="62">
        <v>0</v>
      </c>
      <c r="CC73" s="62">
        <v>0</v>
      </c>
      <c r="CD73" s="62">
        <v>15239.999999999984</v>
      </c>
      <c r="CE73" s="62">
        <v>89148.81683191254</v>
      </c>
      <c r="CF73" s="62">
        <v>9.9054240924347265</v>
      </c>
      <c r="CH73" s="62">
        <v>75981.186050269171</v>
      </c>
      <c r="CI73" s="62">
        <v>8.4423540055854627</v>
      </c>
      <c r="CJ73" s="62">
        <v>1.4630700868492639</v>
      </c>
      <c r="CK73" s="781"/>
      <c r="CL73" s="781"/>
      <c r="CM73" s="781"/>
      <c r="CN73" s="62">
        <v>492321.00961203955</v>
      </c>
      <c r="CV73" s="62">
        <v>401244.33977106417</v>
      </c>
      <c r="CW73" s="62">
        <v>0</v>
      </c>
      <c r="CX73" s="62">
        <v>0</v>
      </c>
      <c r="CZ73" s="62">
        <v>5307.1104294478619</v>
      </c>
      <c r="DA73" s="62">
        <v>6259.9001226994033</v>
      </c>
      <c r="DB73" s="62">
        <v>2452.6350920245368</v>
      </c>
      <c r="DC73" s="62">
        <v>4903.6704294478559</v>
      </c>
      <c r="DD73" s="62">
        <v>4358.8584049079764</v>
      </c>
      <c r="DE73" s="62">
        <v>0</v>
      </c>
      <c r="DN73" s="62">
        <v>11974.199747175709</v>
      </c>
      <c r="DO73" s="62">
        <v>0</v>
      </c>
      <c r="DP73" s="62">
        <v>0</v>
      </c>
      <c r="DR73" s="62">
        <v>401244.33977106417</v>
      </c>
      <c r="DS73" s="62">
        <v>0</v>
      </c>
      <c r="DT73" s="62">
        <v>0</v>
      </c>
      <c r="DV73" s="62">
        <v>413218.53951823991</v>
      </c>
      <c r="DW73" s="62">
        <v>0</v>
      </c>
      <c r="DX73" s="62">
        <v>0</v>
      </c>
      <c r="DZ73" s="62">
        <v>25389.117688323255</v>
      </c>
      <c r="EB73" s="62">
        <v>629618.12704753852</v>
      </c>
      <c r="EC73" s="62">
        <v>164</v>
      </c>
      <c r="ED73" s="62">
        <v>3839.1349210215762</v>
      </c>
      <c r="EE73" s="62">
        <v>537693.94534448592</v>
      </c>
      <c r="EF73" s="62">
        <v>133</v>
      </c>
      <c r="EG73" s="62">
        <v>4042.811619131473</v>
      </c>
      <c r="EI73" s="62">
        <v>-203.67669810989673</v>
      </c>
      <c r="EJ73" s="62">
        <v>91924.1817030526</v>
      </c>
      <c r="EK73" s="62" t="s">
        <v>681</v>
      </c>
      <c r="EL73" s="789">
        <v>0.17096004613583526</v>
      </c>
      <c r="EM73" s="701"/>
      <c r="EO73" s="62">
        <v>11974.199747175709</v>
      </c>
      <c r="ER73" s="62">
        <v>401244.33977106417</v>
      </c>
      <c r="ET73" s="62">
        <v>-73.013413092534819</v>
      </c>
      <c r="EX73" s="62">
        <v>629618.1273003628</v>
      </c>
      <c r="EY73" s="62">
        <v>617710.1273003628</v>
      </c>
      <c r="FA73" s="62">
        <v>629684.32704753848</v>
      </c>
    </row>
    <row r="74" spans="1:157" x14ac:dyDescent="0.2">
      <c r="A74" s="241" t="s">
        <v>106</v>
      </c>
      <c r="B74" s="793">
        <v>3543</v>
      </c>
      <c r="C74" s="241">
        <v>286</v>
      </c>
      <c r="D74" s="241">
        <v>0</v>
      </c>
      <c r="E74" s="241">
        <v>0</v>
      </c>
      <c r="F74" s="241">
        <v>286</v>
      </c>
      <c r="G74" s="241">
        <v>0</v>
      </c>
      <c r="H74" s="241">
        <v>0</v>
      </c>
      <c r="I74" s="241">
        <v>0</v>
      </c>
      <c r="J74" s="241">
        <v>286</v>
      </c>
      <c r="K74" s="241">
        <v>0</v>
      </c>
      <c r="L74" s="241">
        <v>0</v>
      </c>
      <c r="M74" s="241">
        <v>286</v>
      </c>
      <c r="N74" s="62">
        <v>699730.98277149</v>
      </c>
      <c r="O74" s="241"/>
      <c r="P74" s="241">
        <v>56.799599999999998</v>
      </c>
      <c r="Q74" s="241">
        <v>39.274647887323994</v>
      </c>
      <c r="R74" s="241">
        <v>14.098591549295767</v>
      </c>
      <c r="S74" s="241">
        <v>33.232394366197312</v>
      </c>
      <c r="T74" s="241">
        <v>11.077464788732399</v>
      </c>
      <c r="U74" s="241">
        <v>37.260563380281674</v>
      </c>
      <c r="V74" s="241">
        <v>2.0140845070422535</v>
      </c>
      <c r="W74" s="241">
        <v>193.75734647887339</v>
      </c>
      <c r="X74" s="241"/>
      <c r="Y74" s="241"/>
      <c r="Z74" s="241">
        <v>61155.561324000002</v>
      </c>
      <c r="AA74" s="241"/>
      <c r="AB74" s="794">
        <v>71163.335704225377</v>
      </c>
      <c r="AC74" s="794"/>
      <c r="AD74" s="795">
        <v>132318.89702822539</v>
      </c>
      <c r="AE74" s="241">
        <v>0</v>
      </c>
      <c r="AF74" s="120">
        <v>0</v>
      </c>
      <c r="AG74" s="120">
        <v>0</v>
      </c>
      <c r="AH74" s="795">
        <v>0</v>
      </c>
      <c r="AI74" s="120">
        <v>21.272727272727273</v>
      </c>
      <c r="AJ74" s="120">
        <v>0</v>
      </c>
      <c r="AK74" s="120">
        <v>19840.647272727274</v>
      </c>
      <c r="AL74" s="120">
        <v>0</v>
      </c>
      <c r="AM74" s="795">
        <v>19840.647272727274</v>
      </c>
      <c r="AN74" s="120">
        <v>9.0000000000000089</v>
      </c>
      <c r="AO74" s="120">
        <v>0</v>
      </c>
      <c r="AP74" s="795">
        <v>6858.0000000000064</v>
      </c>
      <c r="AQ74" s="795">
        <v>0</v>
      </c>
      <c r="AR74" s="795">
        <v>6858.0000000000064</v>
      </c>
      <c r="AS74" s="795">
        <v>100000</v>
      </c>
      <c r="AT74" s="120">
        <v>0</v>
      </c>
      <c r="AU74" s="120">
        <v>2869.7759999999998</v>
      </c>
      <c r="AV74" s="120">
        <v>0</v>
      </c>
      <c r="AW74" s="120">
        <v>961618.30307244265</v>
      </c>
      <c r="AY74" s="120">
        <v>0</v>
      </c>
      <c r="AZ74" s="120">
        <v>-3496.4249326383033</v>
      </c>
      <c r="BA74" s="120">
        <v>20881.83614446496</v>
      </c>
      <c r="BB74" s="120">
        <v>20881.84</v>
      </c>
      <c r="BC74" s="821">
        <v>979003.71428426914</v>
      </c>
      <c r="BD74" s="808">
        <v>-20881.83614446496</v>
      </c>
      <c r="BE74" s="808">
        <v>22302.6</v>
      </c>
      <c r="BG74" s="808">
        <v>18394.837350002264</v>
      </c>
      <c r="BI74" s="808">
        <v>7008</v>
      </c>
      <c r="BM74" s="821">
        <v>114214.15019999999</v>
      </c>
      <c r="BN74" s="821"/>
      <c r="BP74" s="808">
        <v>1120041.4656898065</v>
      </c>
      <c r="BQ74" s="808">
        <v>286</v>
      </c>
      <c r="BR74" s="814">
        <v>277</v>
      </c>
      <c r="BS74" s="814">
        <v>9</v>
      </c>
      <c r="BT74" s="814">
        <v>1059150.3560245901</v>
      </c>
      <c r="BU74" s="814">
        <v>60891.109665216412</v>
      </c>
      <c r="BV74" s="814">
        <v>277</v>
      </c>
      <c r="BW74" s="814">
        <v>6765.6788516907127</v>
      </c>
      <c r="BY74" s="62">
        <v>75790</v>
      </c>
      <c r="BZ74" s="62">
        <v>52927.558811290161</v>
      </c>
      <c r="CA74" s="62">
        <v>8928.2912727272742</v>
      </c>
      <c r="CB74" s="62">
        <v>0</v>
      </c>
      <c r="CC74" s="62">
        <v>0</v>
      </c>
      <c r="CD74" s="62">
        <v>6858.0000000000064</v>
      </c>
      <c r="CE74" s="62">
        <v>144503.85008401744</v>
      </c>
      <c r="CF74" s="62">
        <v>16.055983342668604</v>
      </c>
      <c r="CH74" s="62">
        <v>81645.648218481438</v>
      </c>
      <c r="CI74" s="62">
        <v>9.0717386909423823</v>
      </c>
      <c r="CJ74" s="62">
        <v>6.9842446517262218</v>
      </c>
      <c r="CK74" s="781"/>
      <c r="CL74" s="781"/>
      <c r="CM74" s="781"/>
      <c r="CN74" s="62">
        <v>858748.52707244258</v>
      </c>
      <c r="CV74" s="62">
        <v>699730.98277149</v>
      </c>
      <c r="CW74" s="62">
        <v>0</v>
      </c>
      <c r="CX74" s="62">
        <v>0</v>
      </c>
      <c r="CZ74" s="62">
        <v>5311.89612676057</v>
      </c>
      <c r="DA74" s="62">
        <v>3813.8099999999977</v>
      </c>
      <c r="DB74" s="62">
        <v>13501.657183098643</v>
      </c>
      <c r="DC74" s="62">
        <v>5998.7795070422562</v>
      </c>
      <c r="DD74" s="62">
        <v>40355.798380281667</v>
      </c>
      <c r="DE74" s="62">
        <v>2181.3945070422533</v>
      </c>
      <c r="DN74" s="62">
        <v>20881.83614446496</v>
      </c>
      <c r="DO74" s="62">
        <v>0</v>
      </c>
      <c r="DP74" s="62">
        <v>0</v>
      </c>
      <c r="DR74" s="62">
        <v>699730.98277149</v>
      </c>
      <c r="DS74" s="62">
        <v>0</v>
      </c>
      <c r="DT74" s="62">
        <v>0</v>
      </c>
      <c r="DV74" s="62">
        <v>720612.81891595491</v>
      </c>
      <c r="DW74" s="62">
        <v>0</v>
      </c>
      <c r="DX74" s="62">
        <v>0</v>
      </c>
      <c r="DZ74" s="62">
        <v>-3496.4249326383033</v>
      </c>
      <c r="EB74" s="62">
        <v>958121.87428426929</v>
      </c>
      <c r="EC74" s="62">
        <v>286</v>
      </c>
      <c r="ED74" s="62">
        <v>3350.076483511431</v>
      </c>
      <c r="EE74" s="62">
        <v>931223.9744500902</v>
      </c>
      <c r="EF74" s="62">
        <v>277</v>
      </c>
      <c r="EG74" s="62">
        <v>3361.8194023468959</v>
      </c>
      <c r="EI74" s="62">
        <v>-11.742918835464934</v>
      </c>
      <c r="EJ74" s="62">
        <v>26897.899834179087</v>
      </c>
      <c r="EK74" s="62" t="s">
        <v>681</v>
      </c>
      <c r="EL74" s="789">
        <v>2.8884458059687448E-2</v>
      </c>
      <c r="EO74" s="62">
        <v>20881.83614446496</v>
      </c>
      <c r="ER74" s="62">
        <v>699730.98277149</v>
      </c>
      <c r="ET74" s="62">
        <v>-73.013413092534819</v>
      </c>
      <c r="EX74" s="62">
        <v>958121.87813980435</v>
      </c>
      <c r="EY74" s="62">
        <v>955252.1021398044</v>
      </c>
      <c r="FA74" s="62">
        <v>976133.9382842693</v>
      </c>
    </row>
    <row r="75" spans="1:157" x14ac:dyDescent="0.2">
      <c r="A75" s="241" t="s">
        <v>623</v>
      </c>
      <c r="B75" s="793">
        <v>3531</v>
      </c>
      <c r="C75" s="241">
        <v>340</v>
      </c>
      <c r="D75" s="241">
        <v>0</v>
      </c>
      <c r="E75" s="241">
        <v>0</v>
      </c>
      <c r="F75" s="241">
        <v>340</v>
      </c>
      <c r="G75" s="241">
        <v>0</v>
      </c>
      <c r="H75" s="241">
        <v>0</v>
      </c>
      <c r="I75" s="241">
        <v>0</v>
      </c>
      <c r="J75" s="241">
        <v>340</v>
      </c>
      <c r="K75" s="241">
        <v>0</v>
      </c>
      <c r="L75" s="241">
        <v>0</v>
      </c>
      <c r="M75" s="241">
        <v>340</v>
      </c>
      <c r="N75" s="62">
        <v>831848.02147659648</v>
      </c>
      <c r="O75" s="241"/>
      <c r="P75" s="241">
        <v>103.938</v>
      </c>
      <c r="Q75" s="241">
        <v>15.454545454545469</v>
      </c>
      <c r="R75" s="241">
        <v>4.121212121212114</v>
      </c>
      <c r="S75" s="241">
        <v>49.454545454545304</v>
      </c>
      <c r="T75" s="241">
        <v>50.484848484848321</v>
      </c>
      <c r="U75" s="241">
        <v>13.393939393939394</v>
      </c>
      <c r="V75" s="241">
        <v>53.57575757575772</v>
      </c>
      <c r="W75" s="241">
        <v>290.42284848484832</v>
      </c>
      <c r="X75" s="241"/>
      <c r="Y75" s="241"/>
      <c r="Z75" s="241">
        <v>111909.00522000001</v>
      </c>
      <c r="AA75" s="241"/>
      <c r="AB75" s="794">
        <v>123169.37878787878</v>
      </c>
      <c r="AC75" s="794"/>
      <c r="AD75" s="795">
        <v>235078.38400787878</v>
      </c>
      <c r="AE75" s="241">
        <v>0</v>
      </c>
      <c r="AF75" s="120">
        <v>0</v>
      </c>
      <c r="AG75" s="120">
        <v>0</v>
      </c>
      <c r="AH75" s="795">
        <v>0</v>
      </c>
      <c r="AI75" s="120">
        <v>25.05263157894737</v>
      </c>
      <c r="AJ75" s="120">
        <v>0</v>
      </c>
      <c r="AK75" s="120">
        <v>23366.088421052631</v>
      </c>
      <c r="AL75" s="120">
        <v>0</v>
      </c>
      <c r="AM75" s="795">
        <v>23366.088421052631</v>
      </c>
      <c r="AN75" s="120">
        <v>31.000000000000004</v>
      </c>
      <c r="AO75" s="120">
        <v>0</v>
      </c>
      <c r="AP75" s="795">
        <v>23622.000000000004</v>
      </c>
      <c r="AQ75" s="795">
        <v>0</v>
      </c>
      <c r="AR75" s="795">
        <v>23622.000000000004</v>
      </c>
      <c r="AS75" s="795">
        <v>100000</v>
      </c>
      <c r="AT75" s="120">
        <v>0</v>
      </c>
      <c r="AU75" s="120">
        <v>2869.7759999999998</v>
      </c>
      <c r="AV75" s="120">
        <v>0</v>
      </c>
      <c r="AW75" s="120">
        <v>1216784.2699055278</v>
      </c>
      <c r="AY75" s="120">
        <v>19918.157144864323</v>
      </c>
      <c r="AZ75" s="120">
        <v>0</v>
      </c>
      <c r="BA75" s="120">
        <v>24824.560451461839</v>
      </c>
      <c r="BB75" s="120">
        <v>24824.560000000001</v>
      </c>
      <c r="BC75" s="821">
        <v>1261526.9875018541</v>
      </c>
      <c r="BD75" s="808">
        <v>0</v>
      </c>
      <c r="BE75" s="808">
        <v>22302.6</v>
      </c>
      <c r="BG75" s="808">
        <v>9009.7162530623336</v>
      </c>
      <c r="BI75" s="808">
        <v>4255</v>
      </c>
      <c r="BM75" s="821">
        <v>0</v>
      </c>
      <c r="BN75" s="821"/>
      <c r="BP75" s="808">
        <v>1297094.3037549164</v>
      </c>
      <c r="BQ75" s="808">
        <v>340</v>
      </c>
      <c r="BR75" s="814">
        <v>350</v>
      </c>
      <c r="BS75" s="814">
        <v>-10</v>
      </c>
      <c r="BT75" s="814">
        <v>1296596.3165050815</v>
      </c>
      <c r="BU75" s="814">
        <v>497.98724983492866</v>
      </c>
      <c r="BV75" s="814">
        <v>350</v>
      </c>
      <c r="BW75" s="814">
        <v>-49.798724983492868</v>
      </c>
      <c r="BY75" s="62">
        <v>90100</v>
      </c>
      <c r="BZ75" s="62">
        <v>94031.35360315151</v>
      </c>
      <c r="CA75" s="62">
        <v>10514.739789473684</v>
      </c>
      <c r="CB75" s="62">
        <v>0</v>
      </c>
      <c r="CC75" s="62">
        <v>0</v>
      </c>
      <c r="CD75" s="62">
        <v>23622.000000000004</v>
      </c>
      <c r="CE75" s="62">
        <v>218268.09339262519</v>
      </c>
      <c r="CF75" s="62">
        <v>24.252010376958353</v>
      </c>
      <c r="CH75" s="62">
        <v>159872.26785371202</v>
      </c>
      <c r="CI75" s="62">
        <v>17.763585317079112</v>
      </c>
      <c r="CJ75" s="62">
        <v>6.4884250598792406</v>
      </c>
      <c r="CK75" s="781"/>
      <c r="CL75" s="781"/>
      <c r="CM75" s="781"/>
      <c r="CN75" s="62">
        <v>1113914.4939055278</v>
      </c>
      <c r="CV75" s="62">
        <v>831848.02147659648</v>
      </c>
      <c r="CW75" s="62">
        <v>0</v>
      </c>
      <c r="CX75" s="62">
        <v>0</v>
      </c>
      <c r="CZ75" s="62">
        <v>2090.2272727272748</v>
      </c>
      <c r="DA75" s="62">
        <v>1114.829090909089</v>
      </c>
      <c r="DB75" s="62">
        <v>20092.392727272665</v>
      </c>
      <c r="DC75" s="62">
        <v>27339.05999999991</v>
      </c>
      <c r="DD75" s="62">
        <v>14506.573939393938</v>
      </c>
      <c r="DE75" s="62">
        <v>58026.295757575914</v>
      </c>
      <c r="DN75" s="62">
        <v>24824.560451461839</v>
      </c>
      <c r="DO75" s="62">
        <v>0</v>
      </c>
      <c r="DP75" s="62">
        <v>0</v>
      </c>
      <c r="DR75" s="62">
        <v>831848.02147659648</v>
      </c>
      <c r="DS75" s="62">
        <v>0</v>
      </c>
      <c r="DT75" s="62">
        <v>0</v>
      </c>
      <c r="DV75" s="62">
        <v>856672.58192805829</v>
      </c>
      <c r="DW75" s="62">
        <v>0</v>
      </c>
      <c r="DX75" s="62">
        <v>0</v>
      </c>
      <c r="DZ75" s="62">
        <v>19918.157144864323</v>
      </c>
      <c r="EB75" s="62">
        <v>1236702.427501854</v>
      </c>
      <c r="EC75" s="62">
        <v>340</v>
      </c>
      <c r="ED75" s="62">
        <v>3637.3600808878059</v>
      </c>
      <c r="EE75" s="62">
        <v>1270912.4666240232</v>
      </c>
      <c r="EF75" s="62">
        <v>345</v>
      </c>
      <c r="EG75" s="62">
        <v>3683.8042510841251</v>
      </c>
      <c r="EI75" s="62">
        <v>-46.444170196319192</v>
      </c>
      <c r="EJ75" s="62">
        <v>-34210.039122169139</v>
      </c>
      <c r="EK75" s="62" t="s">
        <v>616</v>
      </c>
      <c r="EL75" s="789">
        <v>-2.6917698913633815E-2</v>
      </c>
      <c r="EO75" s="62">
        <v>0</v>
      </c>
      <c r="EP75" s="701" t="s">
        <v>1022</v>
      </c>
      <c r="ER75" s="62">
        <v>856672.58192805829</v>
      </c>
      <c r="ET75" s="62">
        <v>0</v>
      </c>
      <c r="EU75" s="701"/>
      <c r="EV75" s="701" t="s">
        <v>1022</v>
      </c>
      <c r="EX75" s="62">
        <v>1261526.9875018541</v>
      </c>
      <c r="EY75" s="62">
        <v>1258657.211501854</v>
      </c>
      <c r="FA75" s="62">
        <v>1258657.211501854</v>
      </c>
    </row>
    <row r="76" spans="1:157" x14ac:dyDescent="0.2">
      <c r="A76" s="241" t="s">
        <v>63</v>
      </c>
      <c r="B76" s="793">
        <v>3526</v>
      </c>
      <c r="C76" s="241">
        <v>90</v>
      </c>
      <c r="D76" s="241">
        <v>0</v>
      </c>
      <c r="E76" s="241">
        <v>0</v>
      </c>
      <c r="F76" s="241">
        <v>90</v>
      </c>
      <c r="G76" s="241">
        <v>0</v>
      </c>
      <c r="H76" s="241">
        <v>0</v>
      </c>
      <c r="I76" s="241">
        <v>0</v>
      </c>
      <c r="J76" s="241">
        <v>90</v>
      </c>
      <c r="K76" s="241">
        <v>0</v>
      </c>
      <c r="L76" s="241">
        <v>0</v>
      </c>
      <c r="M76" s="241">
        <v>90</v>
      </c>
      <c r="N76" s="62">
        <v>220195.06450851081</v>
      </c>
      <c r="O76" s="241"/>
      <c r="P76" s="241">
        <v>28.637999999999998</v>
      </c>
      <c r="Q76" s="241">
        <v>0</v>
      </c>
      <c r="R76" s="241">
        <v>8.1818181818181817</v>
      </c>
      <c r="S76" s="241">
        <v>16.363636363636378</v>
      </c>
      <c r="T76" s="241">
        <v>37.840909090909051</v>
      </c>
      <c r="U76" s="241">
        <v>0</v>
      </c>
      <c r="V76" s="241">
        <v>25.568181818181809</v>
      </c>
      <c r="W76" s="241">
        <v>116.59254545454542</v>
      </c>
      <c r="X76" s="241"/>
      <c r="Y76" s="241"/>
      <c r="Z76" s="241">
        <v>30834.248220000001</v>
      </c>
      <c r="AA76" s="241"/>
      <c r="AB76" s="794">
        <v>57045.599999999969</v>
      </c>
      <c r="AC76" s="794"/>
      <c r="AD76" s="795">
        <v>87879.848219999971</v>
      </c>
      <c r="AE76" s="241">
        <v>0</v>
      </c>
      <c r="AF76" s="120">
        <v>0</v>
      </c>
      <c r="AG76" s="120">
        <v>0</v>
      </c>
      <c r="AH76" s="795">
        <v>0</v>
      </c>
      <c r="AI76" s="120">
        <v>48.813559322033875</v>
      </c>
      <c r="AJ76" s="120">
        <v>0</v>
      </c>
      <c r="AK76" s="120">
        <v>45527.43050847455</v>
      </c>
      <c r="AL76" s="120">
        <v>0</v>
      </c>
      <c r="AM76" s="795">
        <v>45527.43050847455</v>
      </c>
      <c r="AN76" s="120">
        <v>8.0000000000000018</v>
      </c>
      <c r="AO76" s="120">
        <v>0</v>
      </c>
      <c r="AP76" s="795">
        <v>6096.0000000000009</v>
      </c>
      <c r="AQ76" s="795">
        <v>0</v>
      </c>
      <c r="AR76" s="795">
        <v>6096.0000000000009</v>
      </c>
      <c r="AS76" s="795">
        <v>100000</v>
      </c>
      <c r="AT76" s="120">
        <v>0</v>
      </c>
      <c r="AU76" s="120">
        <v>1063.6142399999999</v>
      </c>
      <c r="AV76" s="120">
        <v>0</v>
      </c>
      <c r="AW76" s="120">
        <v>460761.95747698535</v>
      </c>
      <c r="AY76" s="120">
        <v>0</v>
      </c>
      <c r="AZ76" s="120">
        <v>-8452.5323699881883</v>
      </c>
      <c r="BA76" s="120">
        <v>6571.2071783281335</v>
      </c>
      <c r="BB76" s="120">
        <v>6571.21</v>
      </c>
      <c r="BC76" s="821">
        <v>458880.63228532526</v>
      </c>
      <c r="BD76" s="808">
        <v>-6571.2071783281335</v>
      </c>
      <c r="BE76" s="808">
        <v>11151.3</v>
      </c>
      <c r="BG76" s="808">
        <v>6006.4775020415564</v>
      </c>
      <c r="BI76" s="808">
        <v>3504</v>
      </c>
      <c r="BM76" s="821">
        <v>69278.186799999996</v>
      </c>
      <c r="BN76" s="821"/>
      <c r="BP76" s="808">
        <v>542249.3894090387</v>
      </c>
      <c r="BQ76" s="808">
        <v>90</v>
      </c>
      <c r="BR76" s="814">
        <v>88</v>
      </c>
      <c r="BS76" s="814">
        <v>2</v>
      </c>
      <c r="BT76" s="814">
        <v>534266.86423201603</v>
      </c>
      <c r="BU76" s="814">
        <v>7982.5251770226751</v>
      </c>
      <c r="BV76" s="814">
        <v>88</v>
      </c>
      <c r="BW76" s="814">
        <v>3991.2625885113375</v>
      </c>
      <c r="BY76" s="62">
        <v>23850</v>
      </c>
      <c r="BZ76" s="62">
        <v>35151.939287999987</v>
      </c>
      <c r="CA76" s="62">
        <v>20487.343728813546</v>
      </c>
      <c r="CB76" s="62">
        <v>0</v>
      </c>
      <c r="CC76" s="62">
        <v>0</v>
      </c>
      <c r="CD76" s="62">
        <v>6096.0000000000009</v>
      </c>
      <c r="CE76" s="62">
        <v>85585.283016813541</v>
      </c>
      <c r="CF76" s="62">
        <v>9.5094758907570593</v>
      </c>
      <c r="CH76" s="62">
        <v>59943.42858094738</v>
      </c>
      <c r="CI76" s="62">
        <v>6.6603809534385983</v>
      </c>
      <c r="CJ76" s="62">
        <v>2.8490949373184611</v>
      </c>
      <c r="CK76" s="781"/>
      <c r="CL76" s="781"/>
      <c r="CM76" s="781"/>
      <c r="CN76" s="62">
        <v>359698.34323698533</v>
      </c>
      <c r="CV76" s="62">
        <v>220195.06450851081</v>
      </c>
      <c r="CW76" s="62">
        <v>0</v>
      </c>
      <c r="CX76" s="62">
        <v>0</v>
      </c>
      <c r="CZ76" s="62">
        <v>0</v>
      </c>
      <c r="DA76" s="62">
        <v>2213.2636363636361</v>
      </c>
      <c r="DB76" s="62">
        <v>6648.2181818181871</v>
      </c>
      <c r="DC76" s="62">
        <v>20491.987499999977</v>
      </c>
      <c r="DD76" s="62">
        <v>0</v>
      </c>
      <c r="DE76" s="62">
        <v>27692.130681818169</v>
      </c>
      <c r="DN76" s="62">
        <v>6571.2071783281335</v>
      </c>
      <c r="DO76" s="62">
        <v>0</v>
      </c>
      <c r="DP76" s="62">
        <v>0</v>
      </c>
      <c r="DR76" s="62">
        <v>220195.06450851081</v>
      </c>
      <c r="DS76" s="62">
        <v>0</v>
      </c>
      <c r="DT76" s="62">
        <v>0</v>
      </c>
      <c r="DV76" s="62">
        <v>226766.27168683894</v>
      </c>
      <c r="DW76" s="62">
        <v>0</v>
      </c>
      <c r="DX76" s="62">
        <v>0</v>
      </c>
      <c r="DZ76" s="62">
        <v>-8452.5323699881883</v>
      </c>
      <c r="EB76" s="62">
        <v>452309.42228532524</v>
      </c>
      <c r="EC76" s="62">
        <v>90</v>
      </c>
      <c r="ED76" s="62">
        <v>5025.6602476147245</v>
      </c>
      <c r="EE76" s="62">
        <v>452202.54086699727</v>
      </c>
      <c r="EF76" s="62">
        <v>90</v>
      </c>
      <c r="EG76" s="62">
        <v>5024.4726762999699</v>
      </c>
      <c r="EI76" s="62">
        <v>1.1875713147546776</v>
      </c>
      <c r="EJ76" s="62">
        <v>106.88141832797555</v>
      </c>
      <c r="EK76" s="62" t="s">
        <v>681</v>
      </c>
      <c r="EL76" s="789">
        <v>2.3635740330661196E-4</v>
      </c>
      <c r="EO76" s="62">
        <v>6571.2071783281335</v>
      </c>
      <c r="ER76" s="62">
        <v>220195.06450851081</v>
      </c>
      <c r="ET76" s="62">
        <v>-73.013413092534819</v>
      </c>
      <c r="EX76" s="62">
        <v>452309.42510699714</v>
      </c>
      <c r="EY76" s="62">
        <v>451245.81086699711</v>
      </c>
      <c r="FA76" s="62">
        <v>457817.01804532524</v>
      </c>
    </row>
    <row r="77" spans="1:157" x14ac:dyDescent="0.2">
      <c r="A77" s="241" t="s">
        <v>64</v>
      </c>
      <c r="B77" s="793">
        <v>3535</v>
      </c>
      <c r="C77" s="241">
        <v>294</v>
      </c>
      <c r="D77" s="241">
        <v>0</v>
      </c>
      <c r="E77" s="241">
        <v>0</v>
      </c>
      <c r="F77" s="241">
        <v>294</v>
      </c>
      <c r="G77" s="241">
        <v>0</v>
      </c>
      <c r="H77" s="241">
        <v>0</v>
      </c>
      <c r="I77" s="241">
        <v>0</v>
      </c>
      <c r="J77" s="241">
        <v>294</v>
      </c>
      <c r="K77" s="241">
        <v>0</v>
      </c>
      <c r="L77" s="241">
        <v>0</v>
      </c>
      <c r="M77" s="241">
        <v>294</v>
      </c>
      <c r="N77" s="62">
        <v>719303.87739446864</v>
      </c>
      <c r="O77" s="241"/>
      <c r="P77" s="241">
        <v>117.3648</v>
      </c>
      <c r="Q77" s="241">
        <v>0</v>
      </c>
      <c r="R77" s="241">
        <v>25.171232876712335</v>
      </c>
      <c r="S77" s="241">
        <v>74.506849315068607</v>
      </c>
      <c r="T77" s="241">
        <v>145.99315068493138</v>
      </c>
      <c r="U77" s="241">
        <v>2.0136986301369864</v>
      </c>
      <c r="V77" s="241">
        <v>36.246575342465839</v>
      </c>
      <c r="W77" s="241">
        <v>401.29630684931522</v>
      </c>
      <c r="X77" s="241"/>
      <c r="Y77" s="241"/>
      <c r="Z77" s="241">
        <v>126365.50651200001</v>
      </c>
      <c r="AA77" s="241"/>
      <c r="AB77" s="794">
        <v>157577.93876712336</v>
      </c>
      <c r="AC77" s="794"/>
      <c r="AD77" s="795">
        <v>283943.44527912338</v>
      </c>
      <c r="AE77" s="241">
        <v>0</v>
      </c>
      <c r="AF77" s="120">
        <v>0</v>
      </c>
      <c r="AG77" s="120">
        <v>0</v>
      </c>
      <c r="AH77" s="795">
        <v>0</v>
      </c>
      <c r="AI77" s="120">
        <v>115.17525773195888</v>
      </c>
      <c r="AJ77" s="120">
        <v>0</v>
      </c>
      <c r="AK77" s="120">
        <v>107421.6593814434</v>
      </c>
      <c r="AL77" s="120">
        <v>0</v>
      </c>
      <c r="AM77" s="795">
        <v>107421.6593814434</v>
      </c>
      <c r="AN77" s="120">
        <v>33.000000000000099</v>
      </c>
      <c r="AO77" s="120">
        <v>0</v>
      </c>
      <c r="AP77" s="795">
        <v>25146.000000000076</v>
      </c>
      <c r="AQ77" s="795">
        <v>0</v>
      </c>
      <c r="AR77" s="795">
        <v>25146.000000000076</v>
      </c>
      <c r="AS77" s="795">
        <v>100000</v>
      </c>
      <c r="AT77" s="120">
        <v>0</v>
      </c>
      <c r="AU77" s="120">
        <v>2254.8240000000005</v>
      </c>
      <c r="AV77" s="120">
        <v>0</v>
      </c>
      <c r="AW77" s="120">
        <v>1238069.8060550354</v>
      </c>
      <c r="AY77" s="120">
        <v>100166.55649806559</v>
      </c>
      <c r="AZ77" s="120">
        <v>0</v>
      </c>
      <c r="BA77" s="120">
        <v>21465.943449205235</v>
      </c>
      <c r="BB77" s="120">
        <v>21465.94</v>
      </c>
      <c r="BC77" s="821">
        <v>1359702.3060023063</v>
      </c>
      <c r="BD77" s="808">
        <v>-21465.943449205235</v>
      </c>
      <c r="BE77" s="808">
        <v>0</v>
      </c>
      <c r="BG77" s="808">
        <v>28030.228342860595</v>
      </c>
      <c r="BI77" s="808">
        <v>12263</v>
      </c>
      <c r="BM77" s="821">
        <v>0</v>
      </c>
      <c r="BN77" s="821"/>
      <c r="BP77" s="808">
        <v>1378529.5908959617</v>
      </c>
      <c r="BQ77" s="808">
        <v>294</v>
      </c>
      <c r="BR77" s="814">
        <v>263</v>
      </c>
      <c r="BS77" s="814">
        <v>31</v>
      </c>
      <c r="BT77" s="814">
        <v>1203256.244619126</v>
      </c>
      <c r="BU77" s="814">
        <v>175273.34627683577</v>
      </c>
      <c r="BV77" s="814">
        <v>263</v>
      </c>
      <c r="BW77" s="814">
        <v>5653.9789121559925</v>
      </c>
      <c r="BY77" s="62">
        <v>77910</v>
      </c>
      <c r="BZ77" s="62">
        <v>113577.37811164936</v>
      </c>
      <c r="CA77" s="62">
        <v>48339.746721649535</v>
      </c>
      <c r="CB77" s="62">
        <v>0</v>
      </c>
      <c r="CC77" s="62">
        <v>0</v>
      </c>
      <c r="CD77" s="62">
        <v>25146.000000000076</v>
      </c>
      <c r="CE77" s="62">
        <v>264973.12483329896</v>
      </c>
      <c r="CF77" s="62">
        <v>29.441458314810998</v>
      </c>
      <c r="CH77" s="62">
        <v>218789.78966916676</v>
      </c>
      <c r="CI77" s="62">
        <v>24.309976629907418</v>
      </c>
      <c r="CJ77" s="62">
        <v>5.13148168490358</v>
      </c>
      <c r="CK77" s="781"/>
      <c r="CL77" s="781"/>
      <c r="CM77" s="781"/>
      <c r="CN77" s="62">
        <v>1135814.9820550354</v>
      </c>
      <c r="CV77" s="62">
        <v>719303.87739446864</v>
      </c>
      <c r="CW77" s="62">
        <v>0</v>
      </c>
      <c r="CX77" s="62">
        <v>0</v>
      </c>
      <c r="CZ77" s="62">
        <v>0</v>
      </c>
      <c r="DA77" s="62">
        <v>6809.0702054794538</v>
      </c>
      <c r="DB77" s="62">
        <v>30270.64273972607</v>
      </c>
      <c r="DC77" s="62">
        <v>79059.670890410882</v>
      </c>
      <c r="DD77" s="62">
        <v>2180.9765753424658</v>
      </c>
      <c r="DE77" s="62">
        <v>39257.578356164471</v>
      </c>
      <c r="DN77" s="62">
        <v>21465.943449205235</v>
      </c>
      <c r="DO77" s="62">
        <v>0</v>
      </c>
      <c r="DP77" s="62">
        <v>0</v>
      </c>
      <c r="DR77" s="62">
        <v>719303.87739446864</v>
      </c>
      <c r="DS77" s="62">
        <v>0</v>
      </c>
      <c r="DT77" s="62">
        <v>0</v>
      </c>
      <c r="DV77" s="62">
        <v>740769.82084367389</v>
      </c>
      <c r="DW77" s="62">
        <v>0</v>
      </c>
      <c r="DX77" s="62">
        <v>0</v>
      </c>
      <c r="DZ77" s="62">
        <v>100166.55649806559</v>
      </c>
      <c r="EB77" s="62">
        <v>1338236.3660023063</v>
      </c>
      <c r="EC77" s="62">
        <v>294</v>
      </c>
      <c r="ED77" s="62">
        <v>4551.8243741575043</v>
      </c>
      <c r="EE77" s="62">
        <v>1190617.1546670836</v>
      </c>
      <c r="EF77" s="62">
        <v>255</v>
      </c>
      <c r="EG77" s="62">
        <v>4669.0868810473867</v>
      </c>
      <c r="EI77" s="62">
        <v>-117.26250688988239</v>
      </c>
      <c r="EJ77" s="62">
        <v>147619.2113352227</v>
      </c>
      <c r="EK77" s="62" t="s">
        <v>681</v>
      </c>
      <c r="EL77" s="789">
        <v>0.12398545641356855</v>
      </c>
      <c r="EM77" s="701"/>
      <c r="EO77" s="62">
        <v>21465.943449205235</v>
      </c>
      <c r="ER77" s="62">
        <v>719303.87739446864</v>
      </c>
      <c r="ET77" s="62">
        <v>-73.013413092534819</v>
      </c>
      <c r="EX77" s="62">
        <v>1338236.362553101</v>
      </c>
      <c r="EY77" s="62">
        <v>1335981.538553101</v>
      </c>
      <c r="FA77" s="62">
        <v>1357447.4820023063</v>
      </c>
    </row>
    <row r="78" spans="1:157" x14ac:dyDescent="0.2">
      <c r="A78" s="797" t="s">
        <v>620</v>
      </c>
      <c r="B78" s="793">
        <v>2008</v>
      </c>
      <c r="C78" s="241">
        <v>218</v>
      </c>
      <c r="D78" s="241">
        <v>0</v>
      </c>
      <c r="E78" s="241">
        <v>0</v>
      </c>
      <c r="F78" s="241">
        <v>218</v>
      </c>
      <c r="G78" s="241">
        <v>0</v>
      </c>
      <c r="H78" s="241">
        <v>0</v>
      </c>
      <c r="I78" s="241">
        <v>0</v>
      </c>
      <c r="J78" s="241">
        <v>218</v>
      </c>
      <c r="K78" s="241">
        <v>0</v>
      </c>
      <c r="L78" s="241">
        <v>0</v>
      </c>
      <c r="M78" s="241">
        <v>218</v>
      </c>
      <c r="N78" s="62">
        <v>533361.37847617071</v>
      </c>
      <c r="O78" s="241"/>
      <c r="P78" s="241">
        <v>74.708600000000004</v>
      </c>
      <c r="Q78" s="241">
        <v>18.166666666666661</v>
      </c>
      <c r="R78" s="241">
        <v>23.212962962962859</v>
      </c>
      <c r="S78" s="241">
        <v>27.25</v>
      </c>
      <c r="T78" s="241">
        <v>59.546296296296255</v>
      </c>
      <c r="U78" s="241">
        <v>25.231481481481538</v>
      </c>
      <c r="V78" s="241">
        <v>11.101851851851846</v>
      </c>
      <c r="W78" s="241">
        <v>239.21785925925917</v>
      </c>
      <c r="X78" s="241"/>
      <c r="Y78" s="241"/>
      <c r="Z78" s="241">
        <v>80438.002534000014</v>
      </c>
      <c r="AA78" s="241"/>
      <c r="AB78" s="794">
        <v>91405.159444444434</v>
      </c>
      <c r="AC78" s="794"/>
      <c r="AD78" s="795">
        <v>171843.16197844443</v>
      </c>
      <c r="AE78" s="241">
        <v>0</v>
      </c>
      <c r="AF78" s="120">
        <v>0</v>
      </c>
      <c r="AG78" s="120">
        <v>0</v>
      </c>
      <c r="AH78" s="795">
        <v>0</v>
      </c>
      <c r="AI78" s="120">
        <v>16.234042553191493</v>
      </c>
      <c r="AJ78" s="120">
        <v>0</v>
      </c>
      <c r="AK78" s="120">
        <v>15141.166808510641</v>
      </c>
      <c r="AL78" s="120">
        <v>0</v>
      </c>
      <c r="AM78" s="795">
        <v>15141.166808510641</v>
      </c>
      <c r="AN78" s="120">
        <v>0</v>
      </c>
      <c r="AO78" s="120">
        <v>0</v>
      </c>
      <c r="AP78" s="795">
        <v>0</v>
      </c>
      <c r="AQ78" s="795">
        <v>0</v>
      </c>
      <c r="AR78" s="795">
        <v>0</v>
      </c>
      <c r="AS78" s="795">
        <v>100000</v>
      </c>
      <c r="AT78" s="120">
        <v>0</v>
      </c>
      <c r="AU78" s="120">
        <v>2345.9279999999999</v>
      </c>
      <c r="AV78" s="120">
        <v>0</v>
      </c>
      <c r="AW78" s="120">
        <v>822691.63526312576</v>
      </c>
      <c r="AY78" s="120">
        <v>42042.09500796441</v>
      </c>
      <c r="AZ78" s="120">
        <v>0</v>
      </c>
      <c r="BA78" s="120">
        <v>15916.92405417259</v>
      </c>
      <c r="BB78" s="120">
        <v>15916.92</v>
      </c>
      <c r="BC78" s="821">
        <v>880650.65432526276</v>
      </c>
      <c r="BD78" s="808">
        <v>0</v>
      </c>
      <c r="BE78" s="808">
        <v>11151.3</v>
      </c>
      <c r="BG78" s="808">
        <v>11762.685108164713</v>
      </c>
      <c r="BI78" s="808">
        <v>3003</v>
      </c>
      <c r="BM78" s="821">
        <v>0</v>
      </c>
      <c r="BN78" s="821"/>
      <c r="BP78" s="808">
        <v>906567.63943342748</v>
      </c>
      <c r="BQ78" s="808">
        <v>218</v>
      </c>
      <c r="BR78" s="814">
        <v>213</v>
      </c>
      <c r="BS78" s="814">
        <v>5</v>
      </c>
      <c r="BT78" s="814">
        <v>866254.07366999378</v>
      </c>
      <c r="BU78" s="814">
        <v>40313.565763433697</v>
      </c>
      <c r="BV78" s="814">
        <v>213</v>
      </c>
      <c r="BW78" s="814">
        <v>8062.7131526867397</v>
      </c>
      <c r="BY78" s="62">
        <v>57770</v>
      </c>
      <c r="BZ78" s="62">
        <v>68737.264791377776</v>
      </c>
      <c r="CA78" s="62">
        <v>6813.5250638297885</v>
      </c>
      <c r="CB78" s="62">
        <v>0</v>
      </c>
      <c r="CC78" s="62">
        <v>0</v>
      </c>
      <c r="CD78" s="62">
        <v>0</v>
      </c>
      <c r="CE78" s="62">
        <v>133320.78985520758</v>
      </c>
      <c r="CF78" s="62">
        <v>14.813421095023065</v>
      </c>
      <c r="CH78" s="62">
        <v>127700.33777155215</v>
      </c>
      <c r="CI78" s="62">
        <v>14.18892641906135</v>
      </c>
      <c r="CJ78" s="62">
        <v>0.62449467596171537</v>
      </c>
      <c r="CK78" s="781"/>
      <c r="CL78" s="781"/>
      <c r="CM78" s="781"/>
      <c r="CN78" s="62">
        <v>720345.70726312581</v>
      </c>
      <c r="CV78" s="62">
        <v>533361.37847617071</v>
      </c>
      <c r="CW78" s="62">
        <v>0</v>
      </c>
      <c r="CX78" s="62">
        <v>0</v>
      </c>
      <c r="CZ78" s="62">
        <v>2457.0416666666661</v>
      </c>
      <c r="DA78" s="62">
        <v>6279.3386111110831</v>
      </c>
      <c r="DB78" s="62">
        <v>11071.13</v>
      </c>
      <c r="DC78" s="62">
        <v>32246.105833333309</v>
      </c>
      <c r="DD78" s="62">
        <v>27327.460648148208</v>
      </c>
      <c r="DE78" s="62">
        <v>12024.082685185178</v>
      </c>
      <c r="DN78" s="62">
        <v>15916.92405417259</v>
      </c>
      <c r="DO78" s="62">
        <v>0</v>
      </c>
      <c r="DP78" s="62">
        <v>0</v>
      </c>
      <c r="DR78" s="62">
        <v>533361.37847617071</v>
      </c>
      <c r="DS78" s="62">
        <v>0</v>
      </c>
      <c r="DT78" s="62">
        <v>0</v>
      </c>
      <c r="DV78" s="62">
        <v>549278.3025303433</v>
      </c>
      <c r="DW78" s="62">
        <v>0</v>
      </c>
      <c r="DX78" s="62">
        <v>0</v>
      </c>
      <c r="DZ78" s="62">
        <v>42042.09500796441</v>
      </c>
      <c r="EB78" s="62">
        <v>864733.73432526272</v>
      </c>
      <c r="EC78" s="62">
        <v>218</v>
      </c>
      <c r="ED78" s="62">
        <v>3966.668506079187</v>
      </c>
      <c r="EE78" s="62">
        <v>844402.43247640226</v>
      </c>
      <c r="EF78" s="62">
        <v>209</v>
      </c>
      <c r="EG78" s="62">
        <v>4040.2030262028816</v>
      </c>
      <c r="EI78" s="62">
        <v>-73.53452012369462</v>
      </c>
      <c r="EJ78" s="62">
        <v>20331.301848860458</v>
      </c>
      <c r="EK78" s="62" t="s">
        <v>681</v>
      </c>
      <c r="EL78" s="789">
        <v>2.4077739555100865E-2</v>
      </c>
      <c r="EO78" s="62">
        <v>0</v>
      </c>
      <c r="EP78" s="701" t="s">
        <v>1022</v>
      </c>
      <c r="ER78" s="62">
        <v>549278.3025303433</v>
      </c>
      <c r="ET78" s="62">
        <v>0</v>
      </c>
      <c r="EU78" s="701"/>
      <c r="EV78" s="701" t="s">
        <v>1022</v>
      </c>
      <c r="EX78" s="62">
        <v>880650.65432526276</v>
      </c>
      <c r="EY78" s="62">
        <v>878304.7263252628</v>
      </c>
      <c r="FA78" s="62">
        <v>878304.7263252628</v>
      </c>
    </row>
    <row r="79" spans="1:157" x14ac:dyDescent="0.2">
      <c r="A79" s="241" t="s">
        <v>65</v>
      </c>
      <c r="B79" s="793">
        <v>3542</v>
      </c>
      <c r="C79" s="241">
        <v>353</v>
      </c>
      <c r="D79" s="241">
        <v>0</v>
      </c>
      <c r="E79" s="241">
        <v>0</v>
      </c>
      <c r="F79" s="241">
        <v>353</v>
      </c>
      <c r="G79" s="241">
        <v>0</v>
      </c>
      <c r="H79" s="241">
        <v>0</v>
      </c>
      <c r="I79" s="241">
        <v>0</v>
      </c>
      <c r="J79" s="241">
        <v>353</v>
      </c>
      <c r="K79" s="241">
        <v>0</v>
      </c>
      <c r="L79" s="241">
        <v>0</v>
      </c>
      <c r="M79" s="241">
        <v>353</v>
      </c>
      <c r="N79" s="62">
        <v>863653.97523893684</v>
      </c>
      <c r="O79" s="241"/>
      <c r="P79" s="241">
        <v>61.704400000000007</v>
      </c>
      <c r="Q79" s="241">
        <v>11</v>
      </c>
      <c r="R79" s="241">
        <v>78.000000000000156</v>
      </c>
      <c r="S79" s="241">
        <v>71.999999999999872</v>
      </c>
      <c r="T79" s="241">
        <v>47.000000000000036</v>
      </c>
      <c r="U79" s="241">
        <v>24.000000000000004</v>
      </c>
      <c r="V79" s="241">
        <v>21.000000000000004</v>
      </c>
      <c r="W79" s="241">
        <v>314.70440000000008</v>
      </c>
      <c r="X79" s="241"/>
      <c r="Y79" s="241"/>
      <c r="Z79" s="241">
        <v>66436.510436000011</v>
      </c>
      <c r="AA79" s="241"/>
      <c r="AB79" s="794">
        <v>126029.75000000001</v>
      </c>
      <c r="AC79" s="794"/>
      <c r="AD79" s="795">
        <v>192466.26043600001</v>
      </c>
      <c r="AE79" s="241">
        <v>1.0114613180515759</v>
      </c>
      <c r="AF79" s="120">
        <v>1675.9914040114613</v>
      </c>
      <c r="AG79" s="120">
        <v>0</v>
      </c>
      <c r="AH79" s="795">
        <v>0</v>
      </c>
      <c r="AI79" s="120">
        <v>80.280936454849638</v>
      </c>
      <c r="AJ79" s="120">
        <v>0</v>
      </c>
      <c r="AK79" s="120">
        <v>74876.423812709152</v>
      </c>
      <c r="AL79" s="120">
        <v>0</v>
      </c>
      <c r="AM79" s="795">
        <v>74876.423812709152</v>
      </c>
      <c r="AN79" s="120">
        <v>17</v>
      </c>
      <c r="AO79" s="120">
        <v>0</v>
      </c>
      <c r="AP79" s="795">
        <v>12954</v>
      </c>
      <c r="AQ79" s="795">
        <v>0</v>
      </c>
      <c r="AR79" s="795">
        <v>12954</v>
      </c>
      <c r="AS79" s="795">
        <v>100000</v>
      </c>
      <c r="AT79" s="120">
        <v>0</v>
      </c>
      <c r="AU79" s="120">
        <v>4190.7839999999997</v>
      </c>
      <c r="AV79" s="120">
        <v>0</v>
      </c>
      <c r="AW79" s="120">
        <v>1249817.4348916574</v>
      </c>
      <c r="AY79" s="120">
        <v>0</v>
      </c>
      <c r="AZ79" s="120">
        <v>-1492.3968321067705</v>
      </c>
      <c r="BA79" s="120">
        <v>25773.734821664792</v>
      </c>
      <c r="BB79" s="120">
        <v>25773.73</v>
      </c>
      <c r="BC79" s="821">
        <v>1274098.7728812152</v>
      </c>
      <c r="BD79" s="808">
        <v>-25773.734821664792</v>
      </c>
      <c r="BE79" s="808">
        <v>22302.6</v>
      </c>
      <c r="BG79" s="808">
        <v>6006.4775020415564</v>
      </c>
      <c r="BI79" s="808">
        <v>2503</v>
      </c>
      <c r="BM79" s="821">
        <v>0</v>
      </c>
      <c r="BN79" s="821"/>
      <c r="BP79" s="808">
        <v>1279137.1155615919</v>
      </c>
      <c r="BQ79" s="808">
        <v>353</v>
      </c>
      <c r="BR79" s="814">
        <v>349</v>
      </c>
      <c r="BS79" s="814">
        <v>4</v>
      </c>
      <c r="BT79" s="814">
        <v>1267787.2916653403</v>
      </c>
      <c r="BU79" s="814">
        <v>11349.823896251852</v>
      </c>
      <c r="BV79" s="814">
        <v>349</v>
      </c>
      <c r="BW79" s="814">
        <v>2837.4559740629629</v>
      </c>
      <c r="BY79" s="62">
        <v>93545</v>
      </c>
      <c r="BZ79" s="62">
        <v>76986.504174400005</v>
      </c>
      <c r="CA79" s="62">
        <v>33694.390715719121</v>
      </c>
      <c r="CB79" s="62">
        <v>1675.9914040114613</v>
      </c>
      <c r="CC79" s="62">
        <v>0</v>
      </c>
      <c r="CD79" s="62">
        <v>12954</v>
      </c>
      <c r="CE79" s="62">
        <v>218855.88629413059</v>
      </c>
      <c r="CF79" s="62">
        <v>24.317320699347842</v>
      </c>
      <c r="CH79" s="62">
        <v>115045.36826348184</v>
      </c>
      <c r="CI79" s="62">
        <v>12.782818695942426</v>
      </c>
      <c r="CJ79" s="62">
        <v>11.534502003405416</v>
      </c>
      <c r="CK79" s="781" t="s">
        <v>615</v>
      </c>
      <c r="CL79" s="781"/>
      <c r="CM79" s="781"/>
      <c r="CN79" s="62">
        <v>1145626.6508916572</v>
      </c>
      <c r="CV79" s="62">
        <v>863653.97523893684</v>
      </c>
      <c r="CW79" s="62">
        <v>0</v>
      </c>
      <c r="CX79" s="62">
        <v>0</v>
      </c>
      <c r="CZ79" s="62">
        <v>1487.75</v>
      </c>
      <c r="DA79" s="62">
        <v>21099.780000000042</v>
      </c>
      <c r="DB79" s="62">
        <v>29252.159999999945</v>
      </c>
      <c r="DC79" s="62">
        <v>25451.910000000018</v>
      </c>
      <c r="DD79" s="62">
        <v>25993.680000000004</v>
      </c>
      <c r="DE79" s="62">
        <v>22744.47</v>
      </c>
      <c r="DN79" s="62">
        <v>25773.734821664792</v>
      </c>
      <c r="DO79" s="62">
        <v>0</v>
      </c>
      <c r="DP79" s="62">
        <v>0</v>
      </c>
      <c r="DR79" s="62">
        <v>863653.97523893684</v>
      </c>
      <c r="DS79" s="62">
        <v>0</v>
      </c>
      <c r="DT79" s="62">
        <v>0</v>
      </c>
      <c r="DV79" s="62">
        <v>889427.71006060159</v>
      </c>
      <c r="DW79" s="62">
        <v>0</v>
      </c>
      <c r="DX79" s="62">
        <v>0</v>
      </c>
      <c r="DZ79" s="62">
        <v>-1492.3968321067705</v>
      </c>
      <c r="EB79" s="62">
        <v>1248325.0428812155</v>
      </c>
      <c r="EC79" s="62">
        <v>353</v>
      </c>
      <c r="ED79" s="62">
        <v>3536.3315662357377</v>
      </c>
      <c r="EE79" s="62">
        <v>1245106.6805353027</v>
      </c>
      <c r="EF79" s="62">
        <v>352</v>
      </c>
      <c r="EG79" s="62">
        <v>3537.2348878843827</v>
      </c>
      <c r="EI79" s="62">
        <v>-0.90332164864503284</v>
      </c>
      <c r="EJ79" s="62">
        <v>3218.3623459127266</v>
      </c>
      <c r="EK79" s="62" t="s">
        <v>681</v>
      </c>
      <c r="EL79" s="789">
        <v>2.5848085117727193E-3</v>
      </c>
      <c r="EO79" s="62">
        <v>25773.734821664792</v>
      </c>
      <c r="ER79" s="62">
        <v>863653.97523893684</v>
      </c>
      <c r="ET79" s="62">
        <v>-73.013413092534819</v>
      </c>
      <c r="EX79" s="62">
        <v>1248325.0380595506</v>
      </c>
      <c r="EY79" s="62">
        <v>1244134.2540595506</v>
      </c>
      <c r="FA79" s="62">
        <v>1269907.9888812155</v>
      </c>
    </row>
    <row r="80" spans="1:157" x14ac:dyDescent="0.2">
      <c r="A80" s="241" t="s">
        <v>66</v>
      </c>
      <c r="B80" s="793">
        <v>3528</v>
      </c>
      <c r="C80" s="241">
        <v>342</v>
      </c>
      <c r="D80" s="241">
        <v>0</v>
      </c>
      <c r="E80" s="241">
        <v>0</v>
      </c>
      <c r="F80" s="241">
        <v>342</v>
      </c>
      <c r="G80" s="241">
        <v>0</v>
      </c>
      <c r="H80" s="241">
        <v>0</v>
      </c>
      <c r="I80" s="241">
        <v>0</v>
      </c>
      <c r="J80" s="241">
        <v>342</v>
      </c>
      <c r="K80" s="241">
        <v>0</v>
      </c>
      <c r="L80" s="241">
        <v>0</v>
      </c>
      <c r="M80" s="241">
        <v>342</v>
      </c>
      <c r="N80" s="62">
        <v>836741.24513234117</v>
      </c>
      <c r="O80" s="241"/>
      <c r="P80" s="241">
        <v>70.7256</v>
      </c>
      <c r="Q80" s="241">
        <v>14.165680473372792</v>
      </c>
      <c r="R80" s="241">
        <v>40.473372781065024</v>
      </c>
      <c r="S80" s="241">
        <v>90.053254437869953</v>
      </c>
      <c r="T80" s="241">
        <v>26.307692307692299</v>
      </c>
      <c r="U80" s="241">
        <v>22.260355029585799</v>
      </c>
      <c r="V80" s="241">
        <v>18.213017751479295</v>
      </c>
      <c r="W80" s="241">
        <v>282.19897278106515</v>
      </c>
      <c r="X80" s="241"/>
      <c r="Y80" s="241"/>
      <c r="Z80" s="241">
        <v>76149.546264000004</v>
      </c>
      <c r="AA80" s="241"/>
      <c r="AB80" s="794">
        <v>107533.09704142014</v>
      </c>
      <c r="AC80" s="794"/>
      <c r="AD80" s="795">
        <v>183682.64330542015</v>
      </c>
      <c r="AE80" s="241">
        <v>1.0555555555555556</v>
      </c>
      <c r="AF80" s="120">
        <v>1749.0555555555557</v>
      </c>
      <c r="AG80" s="120">
        <v>0</v>
      </c>
      <c r="AH80" s="795">
        <v>0</v>
      </c>
      <c r="AI80" s="120">
        <v>47.430656934306462</v>
      </c>
      <c r="AJ80" s="120">
        <v>0</v>
      </c>
      <c r="AK80" s="120">
        <v>44237.625109488952</v>
      </c>
      <c r="AL80" s="120">
        <v>0</v>
      </c>
      <c r="AM80" s="795">
        <v>44237.625109488952</v>
      </c>
      <c r="AN80" s="120">
        <v>25.000000000000014</v>
      </c>
      <c r="AO80" s="120">
        <v>0</v>
      </c>
      <c r="AP80" s="795">
        <v>19050.000000000011</v>
      </c>
      <c r="AQ80" s="795">
        <v>0</v>
      </c>
      <c r="AR80" s="795">
        <v>19050.000000000011</v>
      </c>
      <c r="AS80" s="795">
        <v>100000</v>
      </c>
      <c r="AT80" s="120">
        <v>0</v>
      </c>
      <c r="AU80" s="120">
        <v>7516.0799999999981</v>
      </c>
      <c r="AV80" s="120">
        <v>0</v>
      </c>
      <c r="AW80" s="120">
        <v>1192976.6491028059</v>
      </c>
      <c r="AY80" s="120">
        <v>0</v>
      </c>
      <c r="AZ80" s="120">
        <v>-31576.741543945711</v>
      </c>
      <c r="BA80" s="120">
        <v>24970.587277646908</v>
      </c>
      <c r="BB80" s="120">
        <v>24970.59</v>
      </c>
      <c r="BC80" s="821">
        <v>1186370.4948365071</v>
      </c>
      <c r="BD80" s="808">
        <v>-24970.587277646908</v>
      </c>
      <c r="BE80" s="808">
        <v>22302.6</v>
      </c>
      <c r="BG80" s="808">
        <v>15016.19375510389</v>
      </c>
      <c r="BI80" s="808">
        <v>13515</v>
      </c>
      <c r="BM80" s="821">
        <v>84109.020799999998</v>
      </c>
      <c r="BN80" s="821"/>
      <c r="BP80" s="808">
        <v>1296342.7221139644</v>
      </c>
      <c r="BQ80" s="808">
        <v>342</v>
      </c>
      <c r="BR80" s="814">
        <v>324</v>
      </c>
      <c r="BS80" s="814">
        <v>18</v>
      </c>
      <c r="BT80" s="814">
        <v>1252717.8996742067</v>
      </c>
      <c r="BU80" s="814">
        <v>43624.822439757641</v>
      </c>
      <c r="BV80" s="814">
        <v>324</v>
      </c>
      <c r="BW80" s="814">
        <v>2423.6012466532025</v>
      </c>
      <c r="BY80" s="62">
        <v>90630</v>
      </c>
      <c r="BZ80" s="62">
        <v>73473.057322168068</v>
      </c>
      <c r="CA80" s="62">
        <v>19906.931299270029</v>
      </c>
      <c r="CB80" s="62">
        <v>1749.0555555555557</v>
      </c>
      <c r="CC80" s="62">
        <v>0</v>
      </c>
      <c r="CD80" s="62">
        <v>19050.000000000011</v>
      </c>
      <c r="CE80" s="62">
        <v>204809.04417699366</v>
      </c>
      <c r="CF80" s="62">
        <v>22.756560464110407</v>
      </c>
      <c r="CH80" s="62">
        <v>112832.75042520624</v>
      </c>
      <c r="CI80" s="62">
        <v>12.536972269467359</v>
      </c>
      <c r="CJ80" s="62">
        <v>10.219588194643048</v>
      </c>
      <c r="CK80" s="781" t="s">
        <v>615</v>
      </c>
      <c r="CL80" s="781"/>
      <c r="CM80" s="781"/>
      <c r="CN80" s="62">
        <v>1085460.5691028058</v>
      </c>
      <c r="CV80" s="62">
        <v>836741.24513234117</v>
      </c>
      <c r="CW80" s="62">
        <v>0</v>
      </c>
      <c r="CX80" s="62">
        <v>0</v>
      </c>
      <c r="CZ80" s="62">
        <v>1915.9082840236701</v>
      </c>
      <c r="DA80" s="62">
        <v>10948.452071005899</v>
      </c>
      <c r="DB80" s="62">
        <v>36586.836213017799</v>
      </c>
      <c r="DC80" s="62">
        <v>14246.40461538461</v>
      </c>
      <c r="DD80" s="62">
        <v>24109.522721893489</v>
      </c>
      <c r="DE80" s="62">
        <v>19725.973136094679</v>
      </c>
      <c r="DN80" s="62">
        <v>24970.587277646908</v>
      </c>
      <c r="DO80" s="62">
        <v>0</v>
      </c>
      <c r="DP80" s="62">
        <v>0</v>
      </c>
      <c r="DR80" s="62">
        <v>836741.24513234117</v>
      </c>
      <c r="DS80" s="62">
        <v>0</v>
      </c>
      <c r="DT80" s="62">
        <v>0</v>
      </c>
      <c r="DV80" s="62">
        <v>861711.83240998804</v>
      </c>
      <c r="DW80" s="62">
        <v>0</v>
      </c>
      <c r="DX80" s="62">
        <v>0</v>
      </c>
      <c r="DZ80" s="62">
        <v>-31576.741543945711</v>
      </c>
      <c r="EB80" s="62">
        <v>1161399.904836507</v>
      </c>
      <c r="EC80" s="62">
        <v>342</v>
      </c>
      <c r="ED80" s="62">
        <v>3395.9061544927108</v>
      </c>
      <c r="EE80" s="62">
        <v>1121380.9159849852</v>
      </c>
      <c r="EF80" s="62">
        <v>329</v>
      </c>
      <c r="EG80" s="62">
        <v>3408.4526321732073</v>
      </c>
      <c r="EI80" s="62">
        <v>-12.546477680496537</v>
      </c>
      <c r="EJ80" s="62">
        <v>40018.988851521863</v>
      </c>
      <c r="EK80" s="62" t="s">
        <v>681</v>
      </c>
      <c r="EL80" s="789">
        <v>3.5687239082689809E-2</v>
      </c>
      <c r="EO80" s="62">
        <v>24970.587277646908</v>
      </c>
      <c r="ER80" s="62">
        <v>836741.24513234117</v>
      </c>
      <c r="ET80" s="62">
        <v>-73.013413092534819</v>
      </c>
      <c r="EX80" s="62">
        <v>1161399.9075588603</v>
      </c>
      <c r="EY80" s="62">
        <v>1153883.8275588602</v>
      </c>
      <c r="FA80" s="62">
        <v>1178854.4148365071</v>
      </c>
    </row>
    <row r="81" spans="1:157" x14ac:dyDescent="0.2">
      <c r="A81" s="241" t="s">
        <v>67</v>
      </c>
      <c r="B81" s="793">
        <v>3534</v>
      </c>
      <c r="C81" s="241">
        <v>240</v>
      </c>
      <c r="D81" s="241">
        <v>0</v>
      </c>
      <c r="E81" s="241">
        <v>0</v>
      </c>
      <c r="F81" s="241">
        <v>240</v>
      </c>
      <c r="G81" s="241">
        <v>0</v>
      </c>
      <c r="H81" s="241">
        <v>0</v>
      </c>
      <c r="I81" s="241">
        <v>0</v>
      </c>
      <c r="J81" s="241">
        <v>240</v>
      </c>
      <c r="K81" s="241">
        <v>0</v>
      </c>
      <c r="L81" s="241">
        <v>0</v>
      </c>
      <c r="M81" s="241">
        <v>240</v>
      </c>
      <c r="N81" s="62">
        <v>587186.83868936216</v>
      </c>
      <c r="O81" s="241"/>
      <c r="P81" s="241">
        <v>41.688000000000002</v>
      </c>
      <c r="Q81" s="241">
        <v>8.101265822784816</v>
      </c>
      <c r="R81" s="241">
        <v>9.113924050632912</v>
      </c>
      <c r="S81" s="241">
        <v>19.24050632911392</v>
      </c>
      <c r="T81" s="241">
        <v>11.139240506329104</v>
      </c>
      <c r="U81" s="241">
        <v>1.0126582278481007</v>
      </c>
      <c r="V81" s="241">
        <v>2.0253164556962013</v>
      </c>
      <c r="W81" s="241">
        <v>92.320911392405065</v>
      </c>
      <c r="X81" s="241"/>
      <c r="Y81" s="241"/>
      <c r="Z81" s="241">
        <v>44885.052720000007</v>
      </c>
      <c r="AA81" s="241"/>
      <c r="AB81" s="794">
        <v>20700.708860759485</v>
      </c>
      <c r="AC81" s="794"/>
      <c r="AD81" s="795">
        <v>65585.761580759485</v>
      </c>
      <c r="AE81" s="241">
        <v>3.050847457627119</v>
      </c>
      <c r="AF81" s="120">
        <v>5055.2542372881362</v>
      </c>
      <c r="AG81" s="120">
        <v>0</v>
      </c>
      <c r="AH81" s="795">
        <v>0</v>
      </c>
      <c r="AI81" s="120">
        <v>24.10041841004184</v>
      </c>
      <c r="AJ81" s="120">
        <v>0</v>
      </c>
      <c r="AK81" s="120">
        <v>22477.978242677822</v>
      </c>
      <c r="AL81" s="120">
        <v>0</v>
      </c>
      <c r="AM81" s="795">
        <v>22477.978242677822</v>
      </c>
      <c r="AN81" s="120">
        <v>7.000000000000008</v>
      </c>
      <c r="AO81" s="120">
        <v>0</v>
      </c>
      <c r="AP81" s="795">
        <v>5334.0000000000064</v>
      </c>
      <c r="AQ81" s="795">
        <v>0</v>
      </c>
      <c r="AR81" s="795">
        <v>5334.0000000000064</v>
      </c>
      <c r="AS81" s="795">
        <v>100000</v>
      </c>
      <c r="AT81" s="120">
        <v>0</v>
      </c>
      <c r="AU81" s="120">
        <v>2528.1359999999986</v>
      </c>
      <c r="AV81" s="120">
        <v>0</v>
      </c>
      <c r="AW81" s="120">
        <v>788167.96875008754</v>
      </c>
      <c r="AY81" s="120">
        <v>0</v>
      </c>
      <c r="AZ81" s="120">
        <v>0</v>
      </c>
      <c r="BA81" s="120">
        <v>17523.219142208356</v>
      </c>
      <c r="BB81" s="120">
        <v>17523.22</v>
      </c>
      <c r="BC81" s="821">
        <v>805691.18789229589</v>
      </c>
      <c r="BD81" s="808">
        <v>-17523.219142208356</v>
      </c>
      <c r="BE81" s="808">
        <v>0</v>
      </c>
      <c r="BG81" s="808">
        <v>10511.335628572724</v>
      </c>
      <c r="BI81" s="808">
        <v>1001</v>
      </c>
      <c r="BM81" s="821">
        <v>0</v>
      </c>
      <c r="BN81" s="821"/>
      <c r="BP81" s="808">
        <v>799680.30437866028</v>
      </c>
      <c r="BQ81" s="808">
        <v>240</v>
      </c>
      <c r="BR81" s="814">
        <v>236</v>
      </c>
      <c r="BS81" s="814">
        <v>4</v>
      </c>
      <c r="BT81" s="814">
        <v>789408.01352018723</v>
      </c>
      <c r="BU81" s="814">
        <v>10272.290858473047</v>
      </c>
      <c r="BV81" s="814">
        <v>236</v>
      </c>
      <c r="BW81" s="814">
        <v>2568.0727146182617</v>
      </c>
      <c r="BY81" s="62">
        <v>63600</v>
      </c>
      <c r="BZ81" s="62">
        <v>26234.304632303796</v>
      </c>
      <c r="CA81" s="62">
        <v>10115.09020920502</v>
      </c>
      <c r="CB81" s="62">
        <v>5055.2542372881362</v>
      </c>
      <c r="CC81" s="62">
        <v>0</v>
      </c>
      <c r="CD81" s="62">
        <v>5334.0000000000064</v>
      </c>
      <c r="CE81" s="62">
        <v>110338.64907879697</v>
      </c>
      <c r="CF81" s="62">
        <v>12.259849897644107</v>
      </c>
      <c r="CH81" s="62">
        <v>67661.459374340498</v>
      </c>
      <c r="CI81" s="62">
        <v>7.517939930482278</v>
      </c>
      <c r="CJ81" s="62">
        <v>4.7419099671618294</v>
      </c>
      <c r="CK81" s="781"/>
      <c r="CL81" s="781"/>
      <c r="CM81" s="781"/>
      <c r="CN81" s="62">
        <v>685639.8327500876</v>
      </c>
      <c r="CV81" s="62">
        <v>587186.83868936216</v>
      </c>
      <c r="CW81" s="62">
        <v>0</v>
      </c>
      <c r="CX81" s="62">
        <v>0</v>
      </c>
      <c r="CZ81" s="62">
        <v>1095.6962025316463</v>
      </c>
      <c r="DA81" s="62">
        <v>2465.4075949367088</v>
      </c>
      <c r="DB81" s="62">
        <v>7817.0329113924026</v>
      </c>
      <c r="DC81" s="62">
        <v>6032.2329113923997</v>
      </c>
      <c r="DD81" s="62">
        <v>1096.7797468354424</v>
      </c>
      <c r="DE81" s="62">
        <v>2193.5594936708849</v>
      </c>
      <c r="DN81" s="62">
        <v>17523.219142208356</v>
      </c>
      <c r="DO81" s="62">
        <v>0</v>
      </c>
      <c r="DP81" s="62">
        <v>0</v>
      </c>
      <c r="DR81" s="62">
        <v>587186.83868936216</v>
      </c>
      <c r="DS81" s="62">
        <v>0</v>
      </c>
      <c r="DT81" s="62">
        <v>0</v>
      </c>
      <c r="DV81" s="62">
        <v>604710.05783157051</v>
      </c>
      <c r="DW81" s="62">
        <v>0</v>
      </c>
      <c r="DX81" s="62">
        <v>0</v>
      </c>
      <c r="DZ81" s="62">
        <v>0</v>
      </c>
      <c r="EB81" s="62">
        <v>788167.96789229591</v>
      </c>
      <c r="EC81" s="62">
        <v>240</v>
      </c>
      <c r="ED81" s="62">
        <v>3284.0331995512329</v>
      </c>
      <c r="EE81" s="62">
        <v>773891.6778916145</v>
      </c>
      <c r="EF81" s="62">
        <v>233</v>
      </c>
      <c r="EG81" s="62">
        <v>3321.4235102644398</v>
      </c>
      <c r="EI81" s="62">
        <v>-37.390310713206873</v>
      </c>
      <c r="EJ81" s="62">
        <v>14276.290000681416</v>
      </c>
      <c r="EK81" s="62" t="s">
        <v>681</v>
      </c>
      <c r="EL81" s="789">
        <v>1.8447400855344055E-2</v>
      </c>
      <c r="EO81" s="62">
        <v>17523.219142208356</v>
      </c>
      <c r="ER81" s="62">
        <v>587186.83868936216</v>
      </c>
      <c r="ET81" s="62">
        <v>-73.013413092534819</v>
      </c>
      <c r="EX81" s="62">
        <v>788167.96875008754</v>
      </c>
      <c r="EY81" s="62">
        <v>785639.8327500876</v>
      </c>
      <c r="FA81" s="62">
        <v>803163.05189229595</v>
      </c>
    </row>
    <row r="82" spans="1:157" x14ac:dyDescent="0.2">
      <c r="A82" s="241" t="s">
        <v>68</v>
      </c>
      <c r="B82" s="793">
        <v>3532</v>
      </c>
      <c r="C82" s="241">
        <v>304</v>
      </c>
      <c r="D82" s="241">
        <v>0</v>
      </c>
      <c r="E82" s="241">
        <v>0</v>
      </c>
      <c r="F82" s="241">
        <v>304</v>
      </c>
      <c r="G82" s="241">
        <v>0</v>
      </c>
      <c r="H82" s="241">
        <v>0</v>
      </c>
      <c r="I82" s="241">
        <v>0</v>
      </c>
      <c r="J82" s="241">
        <v>304</v>
      </c>
      <c r="K82" s="241">
        <v>0</v>
      </c>
      <c r="L82" s="241">
        <v>0</v>
      </c>
      <c r="M82" s="241">
        <v>304</v>
      </c>
      <c r="N82" s="62">
        <v>743769.99567319208</v>
      </c>
      <c r="O82" s="241"/>
      <c r="P82" s="241">
        <v>30.886399999999998</v>
      </c>
      <c r="Q82" s="241">
        <v>56.558139534883729</v>
      </c>
      <c r="R82" s="241">
        <v>21.20930232558139</v>
      </c>
      <c r="S82" s="241">
        <v>7.0697674418604732</v>
      </c>
      <c r="T82" s="241">
        <v>6.0598006644518128</v>
      </c>
      <c r="U82" s="241">
        <v>2.0199335548172761</v>
      </c>
      <c r="V82" s="241">
        <v>1.0099667774086365</v>
      </c>
      <c r="W82" s="241">
        <v>124.81331029900332</v>
      </c>
      <c r="X82" s="241"/>
      <c r="Y82" s="241"/>
      <c r="Z82" s="241">
        <v>33255.078015999999</v>
      </c>
      <c r="AA82" s="241"/>
      <c r="AB82" s="794">
        <v>22822.279867109628</v>
      </c>
      <c r="AC82" s="794"/>
      <c r="AD82" s="795">
        <v>56077.357883109624</v>
      </c>
      <c r="AE82" s="241">
        <v>0</v>
      </c>
      <c r="AF82" s="120">
        <v>0</v>
      </c>
      <c r="AG82" s="120">
        <v>0</v>
      </c>
      <c r="AH82" s="795">
        <v>0</v>
      </c>
      <c r="AI82" s="120">
        <v>0</v>
      </c>
      <c r="AJ82" s="120">
        <v>0</v>
      </c>
      <c r="AK82" s="120">
        <v>0</v>
      </c>
      <c r="AL82" s="120">
        <v>0</v>
      </c>
      <c r="AM82" s="795">
        <v>0</v>
      </c>
      <c r="AN82" s="120">
        <v>14.000000000000011</v>
      </c>
      <c r="AO82" s="120">
        <v>0</v>
      </c>
      <c r="AP82" s="795">
        <v>10668.000000000007</v>
      </c>
      <c r="AQ82" s="795">
        <v>0</v>
      </c>
      <c r="AR82" s="795">
        <v>10668.000000000007</v>
      </c>
      <c r="AS82" s="795">
        <v>100000</v>
      </c>
      <c r="AT82" s="120">
        <v>0</v>
      </c>
      <c r="AU82" s="120">
        <v>3894.6959999999999</v>
      </c>
      <c r="AV82" s="120">
        <v>0</v>
      </c>
      <c r="AW82" s="120">
        <v>914410.04955630167</v>
      </c>
      <c r="AY82" s="120">
        <v>16778.997647977085</v>
      </c>
      <c r="AZ82" s="120">
        <v>0</v>
      </c>
      <c r="BA82" s="120">
        <v>22196.077580130586</v>
      </c>
      <c r="BB82" s="120">
        <v>22196.080000000002</v>
      </c>
      <c r="BC82" s="821">
        <v>953385.1247844093</v>
      </c>
      <c r="BD82" s="808">
        <v>-22196.077580130586</v>
      </c>
      <c r="BE82" s="808">
        <v>22302.6</v>
      </c>
      <c r="BG82" s="808">
        <v>10511.335628572724</v>
      </c>
      <c r="BI82" s="808">
        <v>3254</v>
      </c>
      <c r="BM82" s="821">
        <v>0</v>
      </c>
      <c r="BN82" s="821"/>
      <c r="BP82" s="808">
        <v>967256.98283285147</v>
      </c>
      <c r="BQ82" s="808">
        <v>304</v>
      </c>
      <c r="BR82" s="814">
        <v>305</v>
      </c>
      <c r="BS82" s="814">
        <v>-1</v>
      </c>
      <c r="BT82" s="814">
        <v>994654.74365105655</v>
      </c>
      <c r="BU82" s="814">
        <v>-27397.760818205075</v>
      </c>
      <c r="BV82" s="814">
        <v>305</v>
      </c>
      <c r="BW82" s="814">
        <v>27397.760818205075</v>
      </c>
      <c r="BY82" s="62">
        <v>80560</v>
      </c>
      <c r="BZ82" s="62">
        <v>22430.94315324385</v>
      </c>
      <c r="CA82" s="62">
        <v>0</v>
      </c>
      <c r="CB82" s="62">
        <v>0</v>
      </c>
      <c r="CC82" s="62">
        <v>0</v>
      </c>
      <c r="CD82" s="62">
        <v>10668.000000000007</v>
      </c>
      <c r="CE82" s="62">
        <v>113658.94315324386</v>
      </c>
      <c r="CF82" s="62">
        <v>12.628771461471541</v>
      </c>
      <c r="CH82" s="62">
        <v>57648.233180288487</v>
      </c>
      <c r="CI82" s="62">
        <v>6.405359242254276</v>
      </c>
      <c r="CJ82" s="62">
        <v>6.2234122192172645</v>
      </c>
      <c r="CK82" s="781"/>
      <c r="CL82" s="781"/>
      <c r="CM82" s="781"/>
      <c r="CN82" s="62">
        <v>810515.35355630168</v>
      </c>
      <c r="CV82" s="62">
        <v>743769.99567319208</v>
      </c>
      <c r="CW82" s="62">
        <v>0</v>
      </c>
      <c r="CX82" s="62">
        <v>0</v>
      </c>
      <c r="CZ82" s="62">
        <v>7649.4883720930247</v>
      </c>
      <c r="DA82" s="62">
        <v>5737.3283720930222</v>
      </c>
      <c r="DB82" s="62">
        <v>2872.305116279073</v>
      </c>
      <c r="DC82" s="62">
        <v>3281.5638538205899</v>
      </c>
      <c r="DD82" s="62">
        <v>2187.729435215947</v>
      </c>
      <c r="DE82" s="62">
        <v>1093.8647176079719</v>
      </c>
      <c r="DN82" s="62">
        <v>22196.077580130586</v>
      </c>
      <c r="DO82" s="62">
        <v>0</v>
      </c>
      <c r="DP82" s="62">
        <v>0</v>
      </c>
      <c r="DR82" s="62">
        <v>743769.99567319208</v>
      </c>
      <c r="DS82" s="62">
        <v>0</v>
      </c>
      <c r="DT82" s="62">
        <v>0</v>
      </c>
      <c r="DV82" s="62">
        <v>765966.07325332263</v>
      </c>
      <c r="DW82" s="62">
        <v>0</v>
      </c>
      <c r="DX82" s="62">
        <v>0</v>
      </c>
      <c r="DZ82" s="62">
        <v>16778.997647977085</v>
      </c>
      <c r="EB82" s="62">
        <v>931189.04478440934</v>
      </c>
      <c r="EC82" s="62">
        <v>304</v>
      </c>
      <c r="ED82" s="62">
        <v>3063.1218578434518</v>
      </c>
      <c r="EE82" s="62">
        <v>946571.44741285429</v>
      </c>
      <c r="EF82" s="62">
        <v>305</v>
      </c>
      <c r="EG82" s="62">
        <v>3103.5129423372273</v>
      </c>
      <c r="EI82" s="62">
        <v>-40.391084493775452</v>
      </c>
      <c r="EJ82" s="62">
        <v>-15382.40262844495</v>
      </c>
      <c r="EK82" s="62" t="s">
        <v>616</v>
      </c>
      <c r="EL82" s="789">
        <v>-1.6250651411985596E-2</v>
      </c>
      <c r="EO82" s="62">
        <v>22196.077580130586</v>
      </c>
      <c r="ER82" s="62">
        <v>743769.99567319208</v>
      </c>
      <c r="ET82" s="62">
        <v>-73.013413092534819</v>
      </c>
      <c r="EX82" s="62">
        <v>931189.04720427876</v>
      </c>
      <c r="EY82" s="62">
        <v>927294.35120427876</v>
      </c>
      <c r="FA82" s="62">
        <v>949490.42878440931</v>
      </c>
    </row>
    <row r="83" spans="1:157" x14ac:dyDescent="0.2">
      <c r="A83" s="241" t="s">
        <v>69</v>
      </c>
      <c r="B83" s="793">
        <v>3546</v>
      </c>
      <c r="C83" s="241">
        <v>502</v>
      </c>
      <c r="D83" s="241">
        <v>0</v>
      </c>
      <c r="E83" s="241">
        <v>0</v>
      </c>
      <c r="F83" s="241">
        <v>502</v>
      </c>
      <c r="G83" s="241">
        <v>0</v>
      </c>
      <c r="H83" s="241">
        <v>0</v>
      </c>
      <c r="I83" s="241">
        <v>0</v>
      </c>
      <c r="J83" s="241">
        <v>502</v>
      </c>
      <c r="K83" s="241">
        <v>0</v>
      </c>
      <c r="L83" s="241">
        <v>0</v>
      </c>
      <c r="M83" s="241">
        <v>502</v>
      </c>
      <c r="N83" s="62">
        <v>1228199.1375919159</v>
      </c>
      <c r="O83" s="241"/>
      <c r="P83" s="241">
        <v>242.96799999999999</v>
      </c>
      <c r="Q83" s="241">
        <v>41.081836327345322</v>
      </c>
      <c r="R83" s="241">
        <v>1.0019960079840338</v>
      </c>
      <c r="S83" s="241">
        <v>38.075848303393229</v>
      </c>
      <c r="T83" s="241">
        <v>160.31936127744521</v>
      </c>
      <c r="U83" s="241">
        <v>7.0139720558882468</v>
      </c>
      <c r="V83" s="241">
        <v>216.43113772455078</v>
      </c>
      <c r="W83" s="241">
        <v>706.89215169660679</v>
      </c>
      <c r="X83" s="241"/>
      <c r="Y83" s="241"/>
      <c r="Z83" s="241">
        <v>261601.21591999999</v>
      </c>
      <c r="AA83" s="241"/>
      <c r="AB83" s="794">
        <v>350121.2627145708</v>
      </c>
      <c r="AC83" s="794"/>
      <c r="AD83" s="795">
        <v>611722.47863457073</v>
      </c>
      <c r="AE83" s="241">
        <v>3.012</v>
      </c>
      <c r="AF83" s="120">
        <v>4990.884</v>
      </c>
      <c r="AG83" s="120">
        <v>0</v>
      </c>
      <c r="AH83" s="795">
        <v>0</v>
      </c>
      <c r="AI83" s="120">
        <v>106.98360655737723</v>
      </c>
      <c r="AJ83" s="120">
        <v>0</v>
      </c>
      <c r="AK83" s="120">
        <v>99781.470163934588</v>
      </c>
      <c r="AL83" s="120">
        <v>0</v>
      </c>
      <c r="AM83" s="795">
        <v>99781.470163934588</v>
      </c>
      <c r="AN83" s="120">
        <v>56.000000000000121</v>
      </c>
      <c r="AO83" s="120">
        <v>0</v>
      </c>
      <c r="AP83" s="795">
        <v>42672.000000000095</v>
      </c>
      <c r="AQ83" s="795">
        <v>0</v>
      </c>
      <c r="AR83" s="795">
        <v>42672.000000000095</v>
      </c>
      <c r="AS83" s="795">
        <v>100000</v>
      </c>
      <c r="AT83" s="120">
        <v>0</v>
      </c>
      <c r="AU83" s="120">
        <v>15813.823999999993</v>
      </c>
      <c r="AV83" s="120">
        <v>0</v>
      </c>
      <c r="AW83" s="120">
        <v>2103179.7943904214</v>
      </c>
      <c r="AY83" s="120">
        <v>65243.322139155585</v>
      </c>
      <c r="AZ83" s="120">
        <v>0</v>
      </c>
      <c r="BA83" s="120">
        <v>36652.73337245248</v>
      </c>
      <c r="BB83" s="120">
        <v>36652.730000000003</v>
      </c>
      <c r="BC83" s="821">
        <v>2205075.8499020296</v>
      </c>
      <c r="BD83" s="808">
        <v>-36652.73337245248</v>
      </c>
      <c r="BE83" s="808">
        <v>33453.899999999994</v>
      </c>
      <c r="BG83" s="808">
        <v>38791.833867351714</v>
      </c>
      <c r="BI83" s="808">
        <v>6756</v>
      </c>
      <c r="BM83" s="821">
        <v>147428.15380000003</v>
      </c>
      <c r="BN83" s="821"/>
      <c r="BP83" s="808">
        <v>2394853.0041969283</v>
      </c>
      <c r="BQ83" s="808">
        <v>502</v>
      </c>
      <c r="BR83" s="814">
        <v>500</v>
      </c>
      <c r="BS83" s="824">
        <v>2</v>
      </c>
      <c r="BT83" s="814">
        <v>2464516.0520030269</v>
      </c>
      <c r="BU83" s="824">
        <v>-69663.047806098592</v>
      </c>
      <c r="BV83" s="814">
        <v>500</v>
      </c>
      <c r="BW83" s="814">
        <v>-34831.523903049296</v>
      </c>
      <c r="BY83" s="62">
        <v>133030</v>
      </c>
      <c r="BZ83" s="62">
        <v>244688.99145382829</v>
      </c>
      <c r="CA83" s="62">
        <v>44901.661573770565</v>
      </c>
      <c r="CB83" s="62">
        <v>4990.884</v>
      </c>
      <c r="CC83" s="62">
        <v>0</v>
      </c>
      <c r="CD83" s="62">
        <v>42672.000000000095</v>
      </c>
      <c r="CE83" s="62">
        <v>470283.537027599</v>
      </c>
      <c r="CF83" s="62">
        <v>52.253726336399886</v>
      </c>
      <c r="CH83" s="62">
        <v>407999.86137118714</v>
      </c>
      <c r="CI83" s="62">
        <v>45.333317930131905</v>
      </c>
      <c r="CJ83" s="62">
        <v>6.9204084062679811</v>
      </c>
      <c r="CK83" s="781" t="s">
        <v>615</v>
      </c>
      <c r="CL83" s="781"/>
      <c r="CM83" s="781"/>
      <c r="CN83" s="62">
        <v>1987365.9703904213</v>
      </c>
      <c r="CV83" s="62">
        <v>1228199.1375919159</v>
      </c>
      <c r="CW83" s="62">
        <v>0</v>
      </c>
      <c r="CX83" s="62">
        <v>0</v>
      </c>
      <c r="CZ83" s="62">
        <v>5556.3183632734545</v>
      </c>
      <c r="DA83" s="62">
        <v>271.04994011976095</v>
      </c>
      <c r="DB83" s="62">
        <v>15469.4556487026</v>
      </c>
      <c r="DC83" s="62">
        <v>86817.743712574898</v>
      </c>
      <c r="DD83" s="62">
        <v>7596.6227145708826</v>
      </c>
      <c r="DE83" s="62">
        <v>234410.0723353292</v>
      </c>
      <c r="DN83" s="62">
        <v>36652.73337245248</v>
      </c>
      <c r="DO83" s="62">
        <v>0</v>
      </c>
      <c r="DP83" s="62">
        <v>0</v>
      </c>
      <c r="DR83" s="62">
        <v>1228199.1375919159</v>
      </c>
      <c r="DS83" s="62">
        <v>0</v>
      </c>
      <c r="DT83" s="62">
        <v>0</v>
      </c>
      <c r="DV83" s="62">
        <v>1264851.8709643683</v>
      </c>
      <c r="DW83" s="62">
        <v>0</v>
      </c>
      <c r="DX83" s="62">
        <v>0</v>
      </c>
      <c r="DZ83" s="62">
        <v>65243.322139155585</v>
      </c>
      <c r="EB83" s="62">
        <v>2168423.1199020296</v>
      </c>
      <c r="EC83" s="62">
        <v>502</v>
      </c>
      <c r="ED83" s="62">
        <v>4319.5679679323302</v>
      </c>
      <c r="EE83" s="62">
        <v>2214232.87113884</v>
      </c>
      <c r="EF83" s="62">
        <v>491</v>
      </c>
      <c r="EG83" s="62">
        <v>4509.6392487552748</v>
      </c>
      <c r="EI83" s="62">
        <v>-190.07128082294457</v>
      </c>
      <c r="EJ83" s="62">
        <v>-45809.751236810349</v>
      </c>
      <c r="EK83" s="62" t="s">
        <v>616</v>
      </c>
      <c r="EL83" s="789">
        <v>-2.0688768482264086E-2</v>
      </c>
      <c r="EM83" s="62" t="s">
        <v>996</v>
      </c>
      <c r="EO83" s="62">
        <v>36652.73337245248</v>
      </c>
      <c r="ER83" s="62">
        <v>1228199.1375919159</v>
      </c>
      <c r="ET83" s="62">
        <v>-73.013413092534819</v>
      </c>
      <c r="EX83" s="62">
        <v>2168423.1165295769</v>
      </c>
      <c r="EY83" s="62">
        <v>2152609.2925295769</v>
      </c>
      <c r="FA83" s="62">
        <v>2189262.0259020296</v>
      </c>
    </row>
    <row r="84" spans="1:157" x14ac:dyDescent="0.2">
      <c r="A84" s="241" t="s">
        <v>107</v>
      </c>
      <c r="B84" s="793">
        <v>3530</v>
      </c>
      <c r="C84" s="241">
        <v>303</v>
      </c>
      <c r="D84" s="241">
        <v>0</v>
      </c>
      <c r="E84" s="241">
        <v>0</v>
      </c>
      <c r="F84" s="241">
        <v>303</v>
      </c>
      <c r="G84" s="241">
        <v>0</v>
      </c>
      <c r="H84" s="241">
        <v>0</v>
      </c>
      <c r="I84" s="241">
        <v>0</v>
      </c>
      <c r="J84" s="241">
        <v>303</v>
      </c>
      <c r="K84" s="241">
        <v>0</v>
      </c>
      <c r="L84" s="241">
        <v>0</v>
      </c>
      <c r="M84" s="241">
        <v>303</v>
      </c>
      <c r="N84" s="62">
        <v>741323.38384531974</v>
      </c>
      <c r="O84" s="241"/>
      <c r="P84" s="241">
        <v>12.453300000000002</v>
      </c>
      <c r="Q84" s="241">
        <v>1.0099999999999991</v>
      </c>
      <c r="R84" s="241">
        <v>11.11000000000001</v>
      </c>
      <c r="S84" s="241">
        <v>5.0500000000000105</v>
      </c>
      <c r="T84" s="241">
        <v>0</v>
      </c>
      <c r="U84" s="241">
        <v>1.0099999999999991</v>
      </c>
      <c r="V84" s="241">
        <v>0</v>
      </c>
      <c r="W84" s="241">
        <v>30.63330000000002</v>
      </c>
      <c r="X84" s="241"/>
      <c r="Y84" s="241"/>
      <c r="Z84" s="241">
        <v>13408.343577000003</v>
      </c>
      <c r="AA84" s="241"/>
      <c r="AB84" s="794">
        <v>6287.5833000000057</v>
      </c>
      <c r="AC84" s="794"/>
      <c r="AD84" s="795">
        <v>19695.926877000009</v>
      </c>
      <c r="AE84" s="241">
        <v>2.0753424657534247</v>
      </c>
      <c r="AF84" s="120">
        <v>3438.8424657534247</v>
      </c>
      <c r="AG84" s="120">
        <v>0</v>
      </c>
      <c r="AH84" s="795">
        <v>0</v>
      </c>
      <c r="AI84" s="120">
        <v>2.3488372093023244</v>
      </c>
      <c r="AJ84" s="120">
        <v>0</v>
      </c>
      <c r="AK84" s="120">
        <v>2190.7134883720919</v>
      </c>
      <c r="AL84" s="120">
        <v>0</v>
      </c>
      <c r="AM84" s="795">
        <v>2190.7134883720919</v>
      </c>
      <c r="AN84" s="120">
        <v>14.999999999999998</v>
      </c>
      <c r="AO84" s="120">
        <v>0</v>
      </c>
      <c r="AP84" s="795">
        <v>11429.999999999998</v>
      </c>
      <c r="AQ84" s="795">
        <v>0</v>
      </c>
      <c r="AR84" s="795">
        <v>11429.999999999998</v>
      </c>
      <c r="AS84" s="795">
        <v>100000</v>
      </c>
      <c r="AT84" s="120">
        <v>0</v>
      </c>
      <c r="AU84" s="120">
        <v>2482.5839999999989</v>
      </c>
      <c r="AV84" s="120">
        <v>0</v>
      </c>
      <c r="AW84" s="120">
        <v>880561.45067644527</v>
      </c>
      <c r="AY84" s="120">
        <v>485.86040892079473</v>
      </c>
      <c r="AZ84" s="120">
        <v>0</v>
      </c>
      <c r="BA84" s="120">
        <v>22123.06416703805</v>
      </c>
      <c r="BB84" s="120">
        <v>22123.06</v>
      </c>
      <c r="BC84" s="821">
        <v>903170.37525240413</v>
      </c>
      <c r="BD84" s="808">
        <v>-22123.06416703805</v>
      </c>
      <c r="BE84" s="808">
        <v>22302.6</v>
      </c>
      <c r="BG84" s="808">
        <v>5756.2076061231583</v>
      </c>
      <c r="BI84" s="808">
        <v>5256</v>
      </c>
      <c r="BM84" s="821">
        <v>100919.23980000001</v>
      </c>
      <c r="BN84" s="821"/>
      <c r="BP84" s="808">
        <v>1015281.3584914892</v>
      </c>
      <c r="BQ84" s="808">
        <v>303</v>
      </c>
      <c r="BR84" s="814">
        <v>292</v>
      </c>
      <c r="BS84" s="814">
        <v>11</v>
      </c>
      <c r="BT84" s="814">
        <v>982404.961355209</v>
      </c>
      <c r="BU84" s="814">
        <v>32876.397136280197</v>
      </c>
      <c r="BV84" s="814">
        <v>292</v>
      </c>
      <c r="BW84" s="814">
        <v>2988.7633760254726</v>
      </c>
      <c r="BY84" s="62">
        <v>80295</v>
      </c>
      <c r="BZ84" s="62">
        <v>7878.3707508000043</v>
      </c>
      <c r="CA84" s="62">
        <v>985.82106976744137</v>
      </c>
      <c r="CB84" s="62">
        <v>3438.8424657534247</v>
      </c>
      <c r="CC84" s="62">
        <v>0</v>
      </c>
      <c r="CD84" s="62">
        <v>11429.999999999998</v>
      </c>
      <c r="CE84" s="62">
        <v>104028.03428632086</v>
      </c>
      <c r="CF84" s="62">
        <v>11.558670476257873</v>
      </c>
      <c r="CH84" s="62">
        <v>32148.251592862063</v>
      </c>
      <c r="CI84" s="62">
        <v>3.5720279547624516</v>
      </c>
      <c r="CJ84" s="62">
        <v>7.9866425214954218</v>
      </c>
      <c r="CK84" s="781"/>
      <c r="CL84" s="781"/>
      <c r="CM84" s="781"/>
      <c r="CN84" s="62">
        <v>778078.86667644524</v>
      </c>
      <c r="CV84" s="62">
        <v>741323.38384531974</v>
      </c>
      <c r="CW84" s="62">
        <v>0</v>
      </c>
      <c r="CX84" s="62">
        <v>0</v>
      </c>
      <c r="CZ84" s="62">
        <v>136.60249999999988</v>
      </c>
      <c r="DA84" s="62">
        <v>3005.3661000000025</v>
      </c>
      <c r="DB84" s="62">
        <v>2051.714000000004</v>
      </c>
      <c r="DC84" s="62">
        <v>0</v>
      </c>
      <c r="DD84" s="62">
        <v>1093.900699999999</v>
      </c>
      <c r="DE84" s="62">
        <v>0</v>
      </c>
      <c r="DN84" s="62">
        <v>22123.06416703805</v>
      </c>
      <c r="DO84" s="62">
        <v>0</v>
      </c>
      <c r="DP84" s="62">
        <v>0</v>
      </c>
      <c r="DR84" s="62">
        <v>741323.38384531974</v>
      </c>
      <c r="DS84" s="62">
        <v>0</v>
      </c>
      <c r="DT84" s="62">
        <v>0</v>
      </c>
      <c r="DV84" s="62">
        <v>763446.44801235781</v>
      </c>
      <c r="DW84" s="62">
        <v>0</v>
      </c>
      <c r="DX84" s="62">
        <v>0</v>
      </c>
      <c r="DZ84" s="62">
        <v>485.86040892079473</v>
      </c>
      <c r="EB84" s="62">
        <v>881047.31525240408</v>
      </c>
      <c r="EC84" s="62">
        <v>303</v>
      </c>
      <c r="ED84" s="62">
        <v>2907.746915024436</v>
      </c>
      <c r="EE84" s="62">
        <v>866830.63966598746</v>
      </c>
      <c r="EF84" s="62">
        <v>293</v>
      </c>
      <c r="EG84" s="62">
        <v>2958.4663469828924</v>
      </c>
      <c r="EI84" s="62">
        <v>-50.719431958456425</v>
      </c>
      <c r="EJ84" s="62">
        <v>14216.675586416619</v>
      </c>
      <c r="EK84" s="62" t="s">
        <v>681</v>
      </c>
      <c r="EL84" s="789">
        <v>1.6400753429637278E-2</v>
      </c>
      <c r="EO84" s="62">
        <v>22123.06416703805</v>
      </c>
      <c r="ER84" s="62">
        <v>741323.38384531974</v>
      </c>
      <c r="ET84" s="62">
        <v>-73.013413092534819</v>
      </c>
      <c r="EX84" s="62">
        <v>881047.31108536606</v>
      </c>
      <c r="EY84" s="62">
        <v>878564.72708536603</v>
      </c>
      <c r="FA84" s="62">
        <v>900687.7912524041</v>
      </c>
    </row>
    <row r="85" spans="1:157" x14ac:dyDescent="0.2">
      <c r="A85" s="241" t="s">
        <v>70</v>
      </c>
      <c r="B85" s="793">
        <v>2459</v>
      </c>
      <c r="C85" s="241">
        <v>382</v>
      </c>
      <c r="D85" s="241">
        <v>0</v>
      </c>
      <c r="E85" s="241">
        <v>0</v>
      </c>
      <c r="F85" s="241">
        <v>382</v>
      </c>
      <c r="G85" s="241">
        <v>0</v>
      </c>
      <c r="H85" s="241">
        <v>0</v>
      </c>
      <c r="I85" s="241">
        <v>0</v>
      </c>
      <c r="J85" s="241">
        <v>382</v>
      </c>
      <c r="K85" s="241">
        <v>0</v>
      </c>
      <c r="L85" s="241">
        <v>0</v>
      </c>
      <c r="M85" s="241">
        <v>382</v>
      </c>
      <c r="N85" s="62">
        <v>934605.71824723482</v>
      </c>
      <c r="O85" s="241"/>
      <c r="P85" s="241">
        <v>28.840999999999998</v>
      </c>
      <c r="Q85" s="241">
        <v>1.002624671916011</v>
      </c>
      <c r="R85" s="241">
        <v>7.0183727034120773</v>
      </c>
      <c r="S85" s="241">
        <v>7.0183727034120773</v>
      </c>
      <c r="T85" s="241">
        <v>1.002624671916011</v>
      </c>
      <c r="U85" s="241">
        <v>0</v>
      </c>
      <c r="V85" s="241">
        <v>0</v>
      </c>
      <c r="W85" s="241">
        <v>44.882994750656174</v>
      </c>
      <c r="X85" s="241"/>
      <c r="Y85" s="241"/>
      <c r="Z85" s="241">
        <v>31052.816289999999</v>
      </c>
      <c r="AA85" s="241"/>
      <c r="AB85" s="794">
        <v>5428.5207874015778</v>
      </c>
      <c r="AC85" s="794"/>
      <c r="AD85" s="795">
        <v>36481.337077401578</v>
      </c>
      <c r="AE85" s="241">
        <v>0</v>
      </c>
      <c r="AF85" s="120">
        <v>0</v>
      </c>
      <c r="AG85" s="120">
        <v>0</v>
      </c>
      <c r="AH85" s="795">
        <v>0</v>
      </c>
      <c r="AI85" s="120">
        <v>11.681957186544349</v>
      </c>
      <c r="AJ85" s="120">
        <v>0</v>
      </c>
      <c r="AK85" s="120">
        <v>10895.527828746182</v>
      </c>
      <c r="AL85" s="120">
        <v>0</v>
      </c>
      <c r="AM85" s="795">
        <v>10895.527828746182</v>
      </c>
      <c r="AN85" s="120">
        <v>19.000000000000014</v>
      </c>
      <c r="AO85" s="120">
        <v>0</v>
      </c>
      <c r="AP85" s="795">
        <v>14478.000000000011</v>
      </c>
      <c r="AQ85" s="795">
        <v>0</v>
      </c>
      <c r="AR85" s="795">
        <v>14478.000000000011</v>
      </c>
      <c r="AS85" s="795">
        <v>100000</v>
      </c>
      <c r="AT85" s="120">
        <v>0</v>
      </c>
      <c r="AU85" s="120">
        <v>15004.08</v>
      </c>
      <c r="AV85" s="120">
        <v>0</v>
      </c>
      <c r="AW85" s="120">
        <v>1111464.6631533825</v>
      </c>
      <c r="AY85" s="120">
        <v>29457.000355214579</v>
      </c>
      <c r="AZ85" s="120">
        <v>0</v>
      </c>
      <c r="BA85" s="120">
        <v>27891.123801348302</v>
      </c>
      <c r="BB85" s="120">
        <v>27891.119999999999</v>
      </c>
      <c r="BC85" s="821">
        <v>1168812.7873099453</v>
      </c>
      <c r="BD85" s="808">
        <v>-27891.123801348302</v>
      </c>
      <c r="BE85" s="808">
        <v>22302.6</v>
      </c>
      <c r="BG85" s="808">
        <v>13514.574379593501</v>
      </c>
      <c r="BI85" s="808">
        <v>7884</v>
      </c>
      <c r="BM85" s="821">
        <v>0</v>
      </c>
      <c r="BN85" s="821"/>
      <c r="BP85" s="808">
        <v>1184622.8378881908</v>
      </c>
      <c r="BQ85" s="808">
        <v>382</v>
      </c>
      <c r="BR85" s="814">
        <v>384</v>
      </c>
      <c r="BS85" s="824">
        <v>-2</v>
      </c>
      <c r="BT85" s="814">
        <v>1214984.2173436387</v>
      </c>
      <c r="BU85" s="824">
        <v>-30361.379455447895</v>
      </c>
      <c r="BV85" s="814">
        <v>384</v>
      </c>
      <c r="BW85" s="814">
        <v>15180.689727723948</v>
      </c>
      <c r="BY85" s="62">
        <v>101230</v>
      </c>
      <c r="BZ85" s="62">
        <v>14592.534830960632</v>
      </c>
      <c r="CA85" s="62">
        <v>4902.9875229357822</v>
      </c>
      <c r="CB85" s="62">
        <v>0</v>
      </c>
      <c r="CC85" s="62">
        <v>0</v>
      </c>
      <c r="CD85" s="62">
        <v>14478.000000000011</v>
      </c>
      <c r="CE85" s="62">
        <v>135203.52235389643</v>
      </c>
      <c r="CF85" s="62">
        <v>15.022613594877381</v>
      </c>
      <c r="CH85" s="62">
        <v>81623.241815607951</v>
      </c>
      <c r="CI85" s="62">
        <v>9.0692490906231065</v>
      </c>
      <c r="CJ85" s="62">
        <v>5.9533645042542744</v>
      </c>
      <c r="CK85" s="781"/>
      <c r="CL85" s="781"/>
      <c r="CM85" s="781"/>
      <c r="CN85" s="62">
        <v>996460.58315338253</v>
      </c>
      <c r="CV85" s="62">
        <v>934605.71824723482</v>
      </c>
      <c r="CW85" s="62">
        <v>0</v>
      </c>
      <c r="CX85" s="62">
        <v>0</v>
      </c>
      <c r="CZ85" s="62">
        <v>135.60498687664048</v>
      </c>
      <c r="DA85" s="62">
        <v>1898.5400000000009</v>
      </c>
      <c r="DB85" s="62">
        <v>2851.4244619422584</v>
      </c>
      <c r="DC85" s="62">
        <v>542.95133858267741</v>
      </c>
      <c r="DD85" s="62">
        <v>0</v>
      </c>
      <c r="DE85" s="62">
        <v>0</v>
      </c>
      <c r="DN85" s="62">
        <v>27891.123801348302</v>
      </c>
      <c r="DO85" s="62">
        <v>0</v>
      </c>
      <c r="DP85" s="62">
        <v>0</v>
      </c>
      <c r="DR85" s="62">
        <v>934605.71824723482</v>
      </c>
      <c r="DS85" s="62">
        <v>0</v>
      </c>
      <c r="DT85" s="62">
        <v>0</v>
      </c>
      <c r="DV85" s="62">
        <v>962496.84204858309</v>
      </c>
      <c r="DW85" s="62">
        <v>0</v>
      </c>
      <c r="DX85" s="62">
        <v>0</v>
      </c>
      <c r="DZ85" s="62">
        <v>29457.000355214579</v>
      </c>
      <c r="EB85" s="62">
        <v>1140921.6673099452</v>
      </c>
      <c r="EC85" s="62">
        <v>382</v>
      </c>
      <c r="ED85" s="62">
        <v>2986.7059353663485</v>
      </c>
      <c r="EE85" s="62">
        <v>1164147.3328748236</v>
      </c>
      <c r="EF85" s="62">
        <v>385</v>
      </c>
      <c r="EG85" s="62">
        <v>3023.7593061683729</v>
      </c>
      <c r="EI85" s="62">
        <v>-37.053370802024347</v>
      </c>
      <c r="EJ85" s="62">
        <v>-23225.665564878378</v>
      </c>
      <c r="EK85" s="62" t="s">
        <v>616</v>
      </c>
      <c r="EL85" s="789">
        <v>-1.9950795667351966E-2</v>
      </c>
      <c r="EO85" s="62">
        <v>27891.123801348302</v>
      </c>
      <c r="ER85" s="62">
        <v>934605.71824723482</v>
      </c>
      <c r="ET85" s="62">
        <v>-73.013413092534819</v>
      </c>
      <c r="EX85" s="62">
        <v>1140921.6635085971</v>
      </c>
      <c r="EY85" s="62">
        <v>1125917.583508597</v>
      </c>
      <c r="FA85" s="62">
        <v>1153808.7073099453</v>
      </c>
    </row>
    <row r="86" spans="1:157" x14ac:dyDescent="0.2">
      <c r="A86" s="701" t="s">
        <v>1035</v>
      </c>
      <c r="B86" s="793"/>
      <c r="C86" s="241"/>
      <c r="D86" s="241"/>
      <c r="E86" s="241"/>
      <c r="F86" s="241"/>
      <c r="G86" s="241"/>
      <c r="H86" s="241"/>
      <c r="I86" s="241"/>
      <c r="J86" s="241"/>
      <c r="K86" s="241"/>
      <c r="L86" s="241"/>
      <c r="M86" s="241"/>
      <c r="N86" s="62"/>
      <c r="O86" s="241"/>
      <c r="P86" s="241"/>
      <c r="Q86" s="241"/>
      <c r="R86" s="241"/>
      <c r="S86" s="241"/>
      <c r="T86" s="241"/>
      <c r="U86" s="241"/>
      <c r="V86" s="241"/>
      <c r="W86" s="241"/>
      <c r="X86" s="241"/>
      <c r="Y86" s="241"/>
      <c r="Z86" s="241"/>
      <c r="AA86" s="241"/>
      <c r="AB86" s="794"/>
      <c r="AC86" s="794"/>
      <c r="AD86" s="795"/>
      <c r="AE86" s="241"/>
      <c r="AH86" s="795"/>
      <c r="AM86" s="795"/>
      <c r="AP86" s="795"/>
      <c r="AQ86" s="795"/>
      <c r="AR86" s="795"/>
      <c r="AS86" s="795"/>
      <c r="BK86" s="808">
        <v>841000</v>
      </c>
      <c r="BM86" s="821">
        <v>0</v>
      </c>
      <c r="BN86" s="821"/>
      <c r="BP86" s="808">
        <v>841000</v>
      </c>
      <c r="BR86" s="814">
        <v>0</v>
      </c>
      <c r="BS86" s="814">
        <v>0</v>
      </c>
      <c r="BT86" s="814">
        <v>0</v>
      </c>
      <c r="BU86" s="814">
        <v>841000</v>
      </c>
      <c r="BV86" s="814">
        <v>0</v>
      </c>
      <c r="BW86" s="814"/>
      <c r="CK86" s="781"/>
      <c r="CL86" s="781"/>
      <c r="CM86" s="781"/>
      <c r="EL86" s="789"/>
    </row>
    <row r="87" spans="1:157" x14ac:dyDescent="0.2">
      <c r="A87" s="701" t="s">
        <v>1044</v>
      </c>
      <c r="B87" s="793"/>
      <c r="C87" s="241"/>
      <c r="D87" s="241"/>
      <c r="E87" s="241"/>
      <c r="F87" s="241"/>
      <c r="G87" s="241"/>
      <c r="H87" s="241"/>
      <c r="I87" s="241"/>
      <c r="J87" s="241"/>
      <c r="K87" s="241"/>
      <c r="L87" s="241"/>
      <c r="M87" s="241"/>
      <c r="N87" s="62"/>
      <c r="O87" s="241"/>
      <c r="P87" s="241"/>
      <c r="Q87" s="241"/>
      <c r="R87" s="241"/>
      <c r="S87" s="241"/>
      <c r="T87" s="241"/>
      <c r="U87" s="241"/>
      <c r="V87" s="241"/>
      <c r="W87" s="241"/>
      <c r="X87" s="241"/>
      <c r="Y87" s="241"/>
      <c r="Z87" s="241"/>
      <c r="AA87" s="241"/>
      <c r="AB87" s="794"/>
      <c r="AC87" s="794"/>
      <c r="AD87" s="795"/>
      <c r="AE87" s="241"/>
      <c r="AH87" s="795"/>
      <c r="AM87" s="795"/>
      <c r="AP87" s="795"/>
      <c r="AQ87" s="795"/>
      <c r="AR87" s="795"/>
      <c r="AS87" s="795"/>
      <c r="BM87" s="821">
        <v>1440450</v>
      </c>
      <c r="BN87" s="821"/>
      <c r="BP87" s="808">
        <v>1440450</v>
      </c>
      <c r="BR87" s="814"/>
      <c r="BS87" s="814">
        <v>0</v>
      </c>
      <c r="BT87" s="814"/>
      <c r="BU87" s="814"/>
      <c r="BV87" s="814"/>
      <c r="BW87" s="814"/>
      <c r="CK87" s="781"/>
      <c r="CL87" s="781"/>
      <c r="CM87" s="781"/>
      <c r="EL87" s="789"/>
    </row>
    <row r="88" spans="1:157" x14ac:dyDescent="0.2">
      <c r="A88" s="701" t="s">
        <v>1042</v>
      </c>
      <c r="B88" s="793"/>
      <c r="C88" s="241"/>
      <c r="D88" s="241"/>
      <c r="E88" s="241"/>
      <c r="F88" s="241"/>
      <c r="G88" s="241"/>
      <c r="H88" s="241"/>
      <c r="I88" s="241"/>
      <c r="J88" s="241"/>
      <c r="K88" s="241"/>
      <c r="L88" s="241"/>
      <c r="M88" s="241"/>
      <c r="N88" s="62"/>
      <c r="O88" s="241"/>
      <c r="P88" s="241"/>
      <c r="Q88" s="241"/>
      <c r="R88" s="241"/>
      <c r="S88" s="241"/>
      <c r="T88" s="241"/>
      <c r="U88" s="241"/>
      <c r="V88" s="241"/>
      <c r="W88" s="241"/>
      <c r="X88" s="241"/>
      <c r="Y88" s="241"/>
      <c r="Z88" s="241"/>
      <c r="AA88" s="241"/>
      <c r="AB88" s="794"/>
      <c r="AC88" s="794"/>
      <c r="AD88" s="795"/>
      <c r="AE88" s="241"/>
      <c r="AH88" s="795"/>
      <c r="AM88" s="795"/>
      <c r="AP88" s="795"/>
      <c r="AQ88" s="795"/>
      <c r="AR88" s="795"/>
      <c r="AS88" s="795"/>
      <c r="BM88" s="821">
        <v>4032292.0447890786</v>
      </c>
      <c r="BN88" s="821"/>
      <c r="BP88" s="808">
        <v>4032292.0447890786</v>
      </c>
      <c r="BR88" s="814">
        <v>0</v>
      </c>
      <c r="BS88" s="814">
        <v>0</v>
      </c>
      <c r="BT88" s="814">
        <v>0</v>
      </c>
      <c r="BU88" s="814">
        <v>4032292.0447890786</v>
      </c>
      <c r="BV88" s="814">
        <v>0</v>
      </c>
      <c r="BW88" s="814"/>
      <c r="CK88" s="781"/>
      <c r="CL88" s="781"/>
      <c r="CM88" s="781"/>
      <c r="EL88" s="789"/>
    </row>
    <row r="89" spans="1:157" x14ac:dyDescent="0.2">
      <c r="A89" s="241"/>
      <c r="B89" s="793"/>
      <c r="C89" s="241"/>
      <c r="D89" s="241"/>
      <c r="E89" s="241"/>
      <c r="F89" s="241"/>
      <c r="G89" s="241"/>
      <c r="H89" s="241"/>
      <c r="I89" s="241"/>
      <c r="J89" s="241"/>
      <c r="K89" s="241"/>
      <c r="L89" s="241"/>
      <c r="M89" s="241"/>
      <c r="N89" s="62"/>
      <c r="O89" s="241"/>
      <c r="P89" s="241"/>
      <c r="Q89" s="241"/>
      <c r="R89" s="241"/>
      <c r="S89" s="241"/>
      <c r="T89" s="241"/>
      <c r="U89" s="241"/>
      <c r="V89" s="241"/>
      <c r="W89" s="241"/>
      <c r="X89" s="241"/>
      <c r="Y89" s="241"/>
      <c r="Z89" s="241"/>
      <c r="AA89" s="241"/>
      <c r="AB89" s="794">
        <v>0</v>
      </c>
      <c r="AC89" s="794"/>
      <c r="AD89" s="795"/>
      <c r="AE89" s="241"/>
      <c r="AP89" s="795"/>
      <c r="AQ89" s="795"/>
      <c r="BB89" s="120">
        <v>0</v>
      </c>
      <c r="BS89" s="814">
        <v>0</v>
      </c>
      <c r="BT89" s="814"/>
      <c r="BU89" s="814"/>
      <c r="BW89" s="814"/>
      <c r="CK89" s="781"/>
      <c r="CL89" s="781"/>
      <c r="CM89" s="781"/>
      <c r="DR89" s="62">
        <v>0</v>
      </c>
      <c r="DS89" s="62">
        <v>0</v>
      </c>
      <c r="DT89" s="62">
        <v>0</v>
      </c>
      <c r="EK89" s="62" t="s">
        <v>681</v>
      </c>
      <c r="EL89" s="789"/>
    </row>
    <row r="90" spans="1:157" x14ac:dyDescent="0.2">
      <c r="A90" s="241" t="s">
        <v>82</v>
      </c>
      <c r="B90" s="241" t="s">
        <v>82</v>
      </c>
      <c r="C90" s="241">
        <v>20607</v>
      </c>
      <c r="D90" s="241">
        <v>0</v>
      </c>
      <c r="E90" s="241">
        <v>0</v>
      </c>
      <c r="F90" s="241">
        <v>20607</v>
      </c>
      <c r="G90" s="241">
        <v>107</v>
      </c>
      <c r="H90" s="241">
        <v>0</v>
      </c>
      <c r="I90" s="241">
        <v>0</v>
      </c>
      <c r="J90" s="241">
        <v>20500</v>
      </c>
      <c r="K90" s="241">
        <v>0</v>
      </c>
      <c r="L90" s="241">
        <v>0</v>
      </c>
      <c r="M90" s="241">
        <v>20500</v>
      </c>
      <c r="N90" s="241">
        <v>50155542.471383028</v>
      </c>
      <c r="O90" s="241">
        <v>0</v>
      </c>
      <c r="P90" s="241">
        <v>6246.7924778761062</v>
      </c>
      <c r="Q90" s="241">
        <v>1354.8216287074592</v>
      </c>
      <c r="R90" s="241">
        <v>1948.6110422460069</v>
      </c>
      <c r="S90" s="241">
        <v>3496.1491516640062</v>
      </c>
      <c r="T90" s="241">
        <v>2607.0185846718941</v>
      </c>
      <c r="U90" s="241">
        <v>1781.7848157158251</v>
      </c>
      <c r="V90" s="241">
        <v>1157.2034356213271</v>
      </c>
      <c r="W90" s="241">
        <v>18592.381136502627</v>
      </c>
      <c r="X90" s="241">
        <v>0</v>
      </c>
      <c r="Y90" s="241">
        <v>0</v>
      </c>
      <c r="Z90" s="241">
        <v>6725858.9930044254</v>
      </c>
      <c r="AA90" s="241">
        <v>0</v>
      </c>
      <c r="AB90" s="241">
        <v>6725682.6551918034</v>
      </c>
      <c r="AC90" s="241">
        <v>0</v>
      </c>
      <c r="AD90" s="241">
        <v>13451541.648196232</v>
      </c>
      <c r="AE90" s="241">
        <v>53.904484330732551</v>
      </c>
      <c r="AF90" s="241">
        <v>89319.730536023853</v>
      </c>
      <c r="AG90" s="241">
        <v>0</v>
      </c>
      <c r="AH90" s="241">
        <v>0</v>
      </c>
      <c r="AI90" s="241">
        <v>2782.7144689568777</v>
      </c>
      <c r="AJ90" s="241">
        <v>0</v>
      </c>
      <c r="AK90" s="241">
        <v>2595382.1309067002</v>
      </c>
      <c r="AL90" s="241">
        <v>0</v>
      </c>
      <c r="AM90" s="241">
        <v>2595382.1309067002</v>
      </c>
      <c r="AN90" s="241">
        <v>1506.7363058120816</v>
      </c>
      <c r="AO90" s="241">
        <v>0</v>
      </c>
      <c r="AP90" s="241">
        <v>1148133.0650288062</v>
      </c>
      <c r="AQ90" s="241">
        <v>0</v>
      </c>
      <c r="AR90" s="241">
        <v>1148133.0650288062</v>
      </c>
      <c r="AS90" s="241">
        <v>7100000</v>
      </c>
      <c r="AT90" s="241">
        <v>0</v>
      </c>
      <c r="AU90" s="241">
        <v>1047153.4438857142</v>
      </c>
      <c r="AV90" s="241">
        <v>276005.12384509254</v>
      </c>
      <c r="AW90" s="241">
        <v>75863077.613781586</v>
      </c>
      <c r="AX90" s="241">
        <v>0</v>
      </c>
      <c r="AY90" s="241">
        <v>2255411.678328285</v>
      </c>
      <c r="AZ90" s="241">
        <v>-159113.11487003643</v>
      </c>
      <c r="BA90" s="241">
        <v>1496774.968396964</v>
      </c>
      <c r="BB90" s="241">
        <v>1496774.97</v>
      </c>
      <c r="BC90" s="822">
        <v>79456151.145636827</v>
      </c>
      <c r="BD90" s="822">
        <v>-1404047.9337694447</v>
      </c>
      <c r="BE90" s="822">
        <v>1338156.0000000005</v>
      </c>
      <c r="BF90" s="822">
        <v>2720458.6210129545</v>
      </c>
      <c r="BG90" s="822">
        <v>766877.0150731561</v>
      </c>
      <c r="BH90" s="822">
        <v>54058.297518374005</v>
      </c>
      <c r="BI90" s="822">
        <v>522446</v>
      </c>
      <c r="BJ90" s="822">
        <v>9507</v>
      </c>
      <c r="BK90" s="822">
        <v>841000</v>
      </c>
      <c r="BL90" s="822">
        <v>0</v>
      </c>
      <c r="BM90" s="822">
        <v>12651918.890297506</v>
      </c>
      <c r="BN90" s="822">
        <v>0</v>
      </c>
      <c r="BO90" s="822">
        <v>0</v>
      </c>
      <c r="BP90" s="822">
        <v>96956525.035769343</v>
      </c>
      <c r="BQ90" s="822">
        <v>20500</v>
      </c>
      <c r="BR90" s="111">
        <v>20025</v>
      </c>
      <c r="BS90" s="111">
        <v>475</v>
      </c>
      <c r="BT90" s="111">
        <v>88644820.902247041</v>
      </c>
      <c r="BU90" s="111">
        <v>6871254.1335223112</v>
      </c>
      <c r="BV90" s="111">
        <v>20025</v>
      </c>
      <c r="BW90" s="814"/>
      <c r="BX90" s="120">
        <v>0</v>
      </c>
      <c r="BY90" s="120">
        <v>5432500</v>
      </c>
      <c r="BZ90" s="120">
        <v>5380616.6592784915</v>
      </c>
      <c r="CA90" s="120">
        <v>1167921.9589080154</v>
      </c>
      <c r="CB90" s="120">
        <v>89319.730536023853</v>
      </c>
      <c r="CC90" s="120">
        <v>0</v>
      </c>
      <c r="CD90" s="120">
        <v>1148133.0650288062</v>
      </c>
      <c r="CE90" s="120">
        <v>13218491.41375134</v>
      </c>
      <c r="CF90" s="120">
        <v>1468.721268194593</v>
      </c>
      <c r="CG90" s="120">
        <v>0</v>
      </c>
      <c r="CH90" s="120">
        <v>12799389.189184684</v>
      </c>
      <c r="CI90" s="120">
        <v>1422.1543543538539</v>
      </c>
      <c r="CJ90" s="120">
        <v>46.566913840739581</v>
      </c>
      <c r="CK90" s="120"/>
      <c r="CL90" s="120"/>
      <c r="CM90" s="120"/>
      <c r="CN90" s="120">
        <v>67439919.046050787</v>
      </c>
      <c r="CO90" s="120"/>
      <c r="CV90" s="781">
        <v>50155542.471383028</v>
      </c>
      <c r="CW90" s="781">
        <v>0</v>
      </c>
      <c r="CX90" s="781">
        <v>0</v>
      </c>
      <c r="CY90" s="781">
        <v>0</v>
      </c>
      <c r="CZ90" s="781">
        <v>183239.62528268385</v>
      </c>
      <c r="DA90" s="781">
        <v>527118.7730379675</v>
      </c>
      <c r="DB90" s="781">
        <v>1420415.4773380512</v>
      </c>
      <c r="DC90" s="781">
        <v>1411778.7741573704</v>
      </c>
      <c r="DD90" s="781">
        <v>1929797.6803573396</v>
      </c>
      <c r="DE90" s="781">
        <v>1253332.3250183905</v>
      </c>
      <c r="DF90" s="781">
        <v>0</v>
      </c>
      <c r="DG90" s="781">
        <v>0</v>
      </c>
      <c r="DH90" s="781">
        <v>0</v>
      </c>
      <c r="DI90" s="781">
        <v>0</v>
      </c>
      <c r="DJ90" s="781">
        <v>0</v>
      </c>
      <c r="DK90" s="781">
        <v>0</v>
      </c>
      <c r="DL90" s="781"/>
      <c r="DM90" s="781"/>
      <c r="DN90" s="781">
        <v>1496774.968396964</v>
      </c>
      <c r="DO90" s="781">
        <v>0</v>
      </c>
      <c r="DP90" s="781">
        <v>0</v>
      </c>
      <c r="DQ90" s="781">
        <v>0</v>
      </c>
      <c r="DR90" s="781">
        <v>50155542.471383028</v>
      </c>
      <c r="DS90" s="781">
        <v>0</v>
      </c>
      <c r="DT90" s="781">
        <v>0</v>
      </c>
      <c r="DU90" s="781">
        <v>0</v>
      </c>
      <c r="DV90" s="781">
        <v>51652317.439780004</v>
      </c>
      <c r="DW90" s="781">
        <v>0</v>
      </c>
      <c r="DX90" s="781">
        <v>0</v>
      </c>
      <c r="DY90" s="781">
        <v>0</v>
      </c>
      <c r="DZ90" s="781">
        <v>2096298.5634582487</v>
      </c>
      <c r="EA90" s="781"/>
      <c r="EB90" s="781">
        <v>77959376.175636783</v>
      </c>
      <c r="EC90" s="781">
        <v>20500</v>
      </c>
      <c r="ED90" s="781">
        <v>274713.69945683418</v>
      </c>
      <c r="EE90" s="781">
        <v>75798209.307685509</v>
      </c>
      <c r="EF90" s="781">
        <v>19889</v>
      </c>
      <c r="EG90" s="781">
        <v>275633.69346412772</v>
      </c>
      <c r="EI90" s="781">
        <v>-919.99400729349099</v>
      </c>
      <c r="EJ90" s="781">
        <v>2161166.8679512744</v>
      </c>
      <c r="EK90" s="62" t="s">
        <v>681</v>
      </c>
      <c r="EL90" s="781">
        <v>1.9292489043837893</v>
      </c>
      <c r="EO90" s="781">
        <v>1404047.9337694447</v>
      </c>
      <c r="ER90" s="781">
        <v>50248269.506010547</v>
      </c>
      <c r="ET90" s="781"/>
      <c r="EX90" s="781">
        <v>78052103.211867362</v>
      </c>
      <c r="EY90" s="781">
        <v>77004949.767981634</v>
      </c>
      <c r="FA90" s="781">
        <v>78408997.701751113</v>
      </c>
    </row>
    <row r="91" spans="1:157" x14ac:dyDescent="0.2">
      <c r="A91" s="241"/>
      <c r="B91" s="793"/>
      <c r="C91" s="241"/>
      <c r="D91" s="241"/>
      <c r="E91" s="241"/>
      <c r="F91" s="241"/>
      <c r="G91" s="241"/>
      <c r="H91" s="241"/>
      <c r="I91" s="241"/>
      <c r="J91" s="241"/>
      <c r="K91" s="241"/>
      <c r="L91" s="241"/>
      <c r="M91" s="241"/>
      <c r="N91" s="62"/>
      <c r="O91" s="241"/>
      <c r="P91" s="241"/>
      <c r="Q91" s="241"/>
      <c r="R91" s="241"/>
      <c r="S91" s="241"/>
      <c r="T91" s="241"/>
      <c r="U91" s="241"/>
      <c r="V91" s="241"/>
      <c r="W91" s="241"/>
      <c r="X91" s="241"/>
      <c r="Y91" s="241"/>
      <c r="Z91" s="241"/>
      <c r="AA91" s="241"/>
      <c r="AB91" s="794"/>
      <c r="AC91" s="794"/>
      <c r="AE91" s="241"/>
      <c r="AP91" s="795"/>
      <c r="AQ91" s="795"/>
      <c r="BB91" s="120">
        <v>0</v>
      </c>
      <c r="BS91" s="824">
        <v>0</v>
      </c>
      <c r="BT91" s="824"/>
      <c r="BU91" s="824"/>
      <c r="BW91" s="814"/>
      <c r="CK91" s="781"/>
      <c r="CL91" s="781"/>
      <c r="CM91" s="781"/>
      <c r="EK91" s="62" t="s">
        <v>681</v>
      </c>
      <c r="EL91" s="789"/>
    </row>
    <row r="92" spans="1:157" x14ac:dyDescent="0.2">
      <c r="A92" s="241" t="s">
        <v>71</v>
      </c>
      <c r="B92" s="793">
        <v>5402</v>
      </c>
      <c r="C92" s="241">
        <v>0</v>
      </c>
      <c r="D92" s="241">
        <v>804</v>
      </c>
      <c r="E92" s="241">
        <v>548</v>
      </c>
      <c r="F92" s="241">
        <v>1352</v>
      </c>
      <c r="G92" s="241">
        <v>0</v>
      </c>
      <c r="H92" s="241">
        <v>0</v>
      </c>
      <c r="I92" s="241">
        <v>0</v>
      </c>
      <c r="J92" s="241">
        <v>0</v>
      </c>
      <c r="K92" s="241">
        <v>804</v>
      </c>
      <c r="L92" s="241">
        <v>548</v>
      </c>
      <c r="M92" s="241">
        <v>1352</v>
      </c>
      <c r="N92" s="62">
        <v>4915734.2337735314</v>
      </c>
      <c r="O92" s="241"/>
      <c r="P92" s="241">
        <v>190.36160000000001</v>
      </c>
      <c r="Q92" s="241">
        <v>14.041543026706281</v>
      </c>
      <c r="R92" s="241">
        <v>155.45994065281928</v>
      </c>
      <c r="S92" s="241">
        <v>13.038575667655788</v>
      </c>
      <c r="T92" s="241">
        <v>13.038575667655788</v>
      </c>
      <c r="U92" s="241">
        <v>9.0267062314540016</v>
      </c>
      <c r="V92" s="241">
        <v>2.0059347181008875</v>
      </c>
      <c r="W92" s="241">
        <v>396.97287596439202</v>
      </c>
      <c r="X92" s="241"/>
      <c r="Y92" s="241"/>
      <c r="Z92" s="241"/>
      <c r="AA92" s="241">
        <v>156972.17536000002</v>
      </c>
      <c r="AB92" s="794"/>
      <c r="AC92" s="794">
        <v>54275.167418397694</v>
      </c>
      <c r="AD92" s="795">
        <v>211247.34277839772</v>
      </c>
      <c r="AE92" s="241">
        <v>9.0133333333333336</v>
      </c>
      <c r="AF92" s="120">
        <v>14935.093333333334</v>
      </c>
      <c r="AG92" s="120">
        <v>73.465381244522291</v>
      </c>
      <c r="AH92" s="795">
        <v>137007.05879053453</v>
      </c>
      <c r="AI92" s="120">
        <v>0</v>
      </c>
      <c r="AJ92" s="120">
        <v>17.01258327165068</v>
      </c>
      <c r="AK92" s="120">
        <v>0</v>
      </c>
      <c r="AL92" s="120">
        <v>46592.361806069712</v>
      </c>
      <c r="AM92" s="795">
        <v>46592.361806069712</v>
      </c>
      <c r="AN92" s="120">
        <v>0</v>
      </c>
      <c r="AO92" s="120">
        <v>30.99999999999995</v>
      </c>
      <c r="AP92" s="795">
        <v>0</v>
      </c>
      <c r="AQ92" s="795">
        <v>55582.999999999913</v>
      </c>
      <c r="AR92" s="795">
        <v>55582.999999999913</v>
      </c>
      <c r="AS92" s="795">
        <v>100000</v>
      </c>
      <c r="AT92" s="120">
        <v>0</v>
      </c>
      <c r="AU92" s="120">
        <v>34847.279999999999</v>
      </c>
      <c r="AV92" s="120">
        <v>0</v>
      </c>
      <c r="AW92" s="120">
        <v>5515946.3704818664</v>
      </c>
      <c r="AY92" s="120">
        <v>106386.39276659675</v>
      </c>
      <c r="AZ92" s="120">
        <v>0</v>
      </c>
      <c r="BA92" s="120">
        <v>89377.623185874676</v>
      </c>
      <c r="BB92" s="120">
        <v>89377.62</v>
      </c>
      <c r="BC92" s="821">
        <v>5711710.386434339</v>
      </c>
      <c r="BD92" s="808">
        <v>0</v>
      </c>
      <c r="BG92" s="808">
        <v>41950.745383172711</v>
      </c>
      <c r="BI92" s="808">
        <v>3399</v>
      </c>
      <c r="BL92" s="808">
        <v>0</v>
      </c>
      <c r="BO92" s="808">
        <v>8904</v>
      </c>
      <c r="BP92" s="808">
        <v>5765964.1318175113</v>
      </c>
      <c r="BQ92" s="808">
        <v>1352</v>
      </c>
      <c r="BR92" s="814">
        <v>1746</v>
      </c>
      <c r="BS92" s="824">
        <v>-394</v>
      </c>
      <c r="BT92" s="824">
        <v>5724523.0207532104</v>
      </c>
      <c r="BU92" s="824">
        <v>32537.111064299941</v>
      </c>
      <c r="BV92" s="814">
        <v>1746</v>
      </c>
      <c r="BW92" s="814">
        <v>-82.581500163197816</v>
      </c>
      <c r="BY92" s="62">
        <v>358280</v>
      </c>
      <c r="BZ92" s="62">
        <v>84498.93711135909</v>
      </c>
      <c r="CA92" s="62">
        <v>20966.562812731372</v>
      </c>
      <c r="CB92" s="62">
        <v>14935.093333333334</v>
      </c>
      <c r="CC92" s="62">
        <v>137007.05879053453</v>
      </c>
      <c r="CD92" s="62">
        <v>55582.999999999913</v>
      </c>
      <c r="CE92" s="62">
        <v>671270.65204795823</v>
      </c>
      <c r="CF92" s="62">
        <v>74.585628005328687</v>
      </c>
      <c r="CH92" s="62">
        <v>549289.53170126863</v>
      </c>
      <c r="CI92" s="62">
        <v>61.032170189029848</v>
      </c>
      <c r="CJ92" s="701">
        <v>13.553457816298838</v>
      </c>
      <c r="CK92" s="781" t="s">
        <v>615</v>
      </c>
      <c r="CL92" s="781"/>
      <c r="CM92" s="781"/>
      <c r="CN92" s="62">
        <v>5381099.0904818671</v>
      </c>
      <c r="CV92" s="62">
        <v>0</v>
      </c>
      <c r="CW92" s="62">
        <v>2779841.6105108117</v>
      </c>
      <c r="CX92" s="62">
        <v>2135892.6232627197</v>
      </c>
      <c r="DF92" s="62">
        <v>1507.6404747774534</v>
      </c>
      <c r="DG92" s="62">
        <v>33461.197626112822</v>
      </c>
      <c r="DH92" s="62">
        <v>4206.5052818991107</v>
      </c>
      <c r="DI92" s="62">
        <v>5606.4571513353121</v>
      </c>
      <c r="DJ92" s="62">
        <v>7767.3001780415398</v>
      </c>
      <c r="DK92" s="62">
        <v>1726.0667062314517</v>
      </c>
      <c r="DN92" s="62">
        <v>0</v>
      </c>
      <c r="DO92" s="62">
        <v>53150.598403434349</v>
      </c>
      <c r="DP92" s="62">
        <v>36227.024782440327</v>
      </c>
      <c r="DR92" s="62">
        <v>0</v>
      </c>
      <c r="DS92" s="62">
        <v>2779841.6105108117</v>
      </c>
      <c r="DT92" s="62">
        <v>2135892.6232627197</v>
      </c>
      <c r="DV92" s="62">
        <v>0</v>
      </c>
      <c r="DW92" s="62">
        <v>2832992.2089142459</v>
      </c>
      <c r="DX92" s="62">
        <v>2172119.6480451599</v>
      </c>
      <c r="DZ92" s="62">
        <v>106386.39276659675</v>
      </c>
      <c r="EB92" s="62">
        <v>5622332.7664343379</v>
      </c>
      <c r="EC92" s="62">
        <v>1352</v>
      </c>
      <c r="ED92" s="62">
        <v>4158.5301526881194</v>
      </c>
      <c r="EE92" s="62">
        <v>5667677.2518364824</v>
      </c>
      <c r="EF92" s="62">
        <v>1347</v>
      </c>
      <c r="EG92" s="62">
        <v>4207.6297341028085</v>
      </c>
      <c r="EI92" s="62">
        <v>-49.099581414689055</v>
      </c>
      <c r="EJ92" s="62">
        <v>-45344.485402144492</v>
      </c>
      <c r="EK92" s="62" t="s">
        <v>616</v>
      </c>
      <c r="EL92" s="789">
        <v>-8.0005412071500089E-3</v>
      </c>
      <c r="EO92" s="62">
        <v>0</v>
      </c>
      <c r="EP92" s="701" t="s">
        <v>1022</v>
      </c>
      <c r="ER92" s="62">
        <v>5005111.8569594063</v>
      </c>
      <c r="EU92" s="62">
        <v>0</v>
      </c>
      <c r="EV92" s="701" t="s">
        <v>1022</v>
      </c>
      <c r="EX92" s="62">
        <v>5711710.3864343381</v>
      </c>
      <c r="EY92" s="62">
        <v>5676863.1064343378</v>
      </c>
      <c r="FA92" s="62">
        <v>5676863.1064343378</v>
      </c>
    </row>
    <row r="93" spans="1:157" x14ac:dyDescent="0.2">
      <c r="A93" s="241" t="s">
        <v>72</v>
      </c>
      <c r="B93" s="793">
        <v>4608</v>
      </c>
      <c r="C93" s="241">
        <v>0</v>
      </c>
      <c r="D93" s="241">
        <v>357</v>
      </c>
      <c r="E93" s="241">
        <v>250</v>
      </c>
      <c r="F93" s="241">
        <v>607</v>
      </c>
      <c r="G93" s="241">
        <v>0</v>
      </c>
      <c r="H93" s="241">
        <v>0</v>
      </c>
      <c r="I93" s="241">
        <v>0</v>
      </c>
      <c r="J93" s="241">
        <v>0</v>
      </c>
      <c r="K93" s="241">
        <v>357</v>
      </c>
      <c r="L93" s="241">
        <v>250</v>
      </c>
      <c r="M93" s="241">
        <v>607</v>
      </c>
      <c r="N93" s="62">
        <v>2208736.2244200981</v>
      </c>
      <c r="O93" s="241"/>
      <c r="P93" s="241">
        <v>330.08660000000003</v>
      </c>
      <c r="Q93" s="241">
        <v>71.999999999999815</v>
      </c>
      <c r="R93" s="241">
        <v>77.000000000000071</v>
      </c>
      <c r="S93" s="241">
        <v>69.000000000000028</v>
      </c>
      <c r="T93" s="241">
        <v>57.000000000000021</v>
      </c>
      <c r="U93" s="241">
        <v>222.00000000000026</v>
      </c>
      <c r="V93" s="241">
        <v>7.9999999999999867</v>
      </c>
      <c r="W93" s="241">
        <v>835.0866000000002</v>
      </c>
      <c r="X93" s="241"/>
      <c r="Y93" s="241"/>
      <c r="Z93" s="241"/>
      <c r="AA93" s="241">
        <v>272189.41036000004</v>
      </c>
      <c r="AB93" s="794"/>
      <c r="AC93" s="794">
        <v>268984.73000000021</v>
      </c>
      <c r="AD93" s="795">
        <v>541174.14036000031</v>
      </c>
      <c r="AE93" s="241">
        <v>2.956168831168831</v>
      </c>
      <c r="AF93" s="120">
        <v>4898.3717532467526</v>
      </c>
      <c r="AG93" s="120">
        <v>115.83119266055077</v>
      </c>
      <c r="AH93" s="795">
        <v>216015.90781651434</v>
      </c>
      <c r="AI93" s="120">
        <v>0</v>
      </c>
      <c r="AJ93" s="120">
        <v>14.999999999999982</v>
      </c>
      <c r="AK93" s="120">
        <v>0</v>
      </c>
      <c r="AL93" s="120">
        <v>41080.499999999949</v>
      </c>
      <c r="AM93" s="795">
        <v>41080.499999999949</v>
      </c>
      <c r="AN93" s="120">
        <v>0</v>
      </c>
      <c r="AO93" s="120">
        <v>39</v>
      </c>
      <c r="AP93" s="795">
        <v>0</v>
      </c>
      <c r="AQ93" s="795">
        <v>69927</v>
      </c>
      <c r="AR93" s="795">
        <v>69927</v>
      </c>
      <c r="AS93" s="795">
        <v>100000</v>
      </c>
      <c r="AT93" s="120">
        <v>0</v>
      </c>
      <c r="AU93" s="120">
        <v>24825.839999999997</v>
      </c>
      <c r="AV93" s="120">
        <v>20041.288963504259</v>
      </c>
      <c r="AW93" s="120">
        <v>3226699.273313364</v>
      </c>
      <c r="AY93" s="120">
        <v>301014.51318517234</v>
      </c>
      <c r="AZ93" s="120">
        <v>0</v>
      </c>
      <c r="BA93" s="120">
        <v>40127.3796404038</v>
      </c>
      <c r="BB93" s="120">
        <v>40127.379999999997</v>
      </c>
      <c r="BC93" s="821">
        <v>3567841.1661389391</v>
      </c>
      <c r="BD93" s="808">
        <v>-36117.148244177377</v>
      </c>
      <c r="BG93" s="808">
        <v>54380.595867075739</v>
      </c>
      <c r="BI93" s="808">
        <v>32408</v>
      </c>
      <c r="BP93" s="808">
        <v>3618512.6137618376</v>
      </c>
      <c r="BQ93" s="808">
        <v>607</v>
      </c>
      <c r="BR93" s="814">
        <v>616</v>
      </c>
      <c r="BS93" s="824">
        <v>-9</v>
      </c>
      <c r="BT93" s="824">
        <v>3703457.7960723066</v>
      </c>
      <c r="BU93" s="824">
        <v>-84945.182310468052</v>
      </c>
      <c r="BV93" s="814">
        <v>616</v>
      </c>
      <c r="BW93" s="814">
        <v>9438.3535900520055</v>
      </c>
      <c r="BY93" s="62">
        <v>160855</v>
      </c>
      <c r="BZ93" s="62">
        <v>216469.65614400012</v>
      </c>
      <c r="CA93" s="62">
        <v>18486.224999999977</v>
      </c>
      <c r="CB93" s="62">
        <v>4898.3717532467526</v>
      </c>
      <c r="CC93" s="62">
        <v>216015.90781651434</v>
      </c>
      <c r="CD93" s="62">
        <v>69927</v>
      </c>
      <c r="CE93" s="62">
        <v>686652.16071376123</v>
      </c>
      <c r="CF93" s="62">
        <v>76.294684523751243</v>
      </c>
      <c r="CH93" s="62">
        <v>698090.1043213614</v>
      </c>
      <c r="CI93" s="62">
        <v>77.565567146817941</v>
      </c>
      <c r="CJ93" s="62">
        <v>-1.2708826230666972</v>
      </c>
      <c r="CK93" s="781"/>
      <c r="CL93" s="781"/>
      <c r="CM93" s="781"/>
      <c r="CN93" s="62">
        <v>3081832.1443498591</v>
      </c>
      <c r="CV93" s="62">
        <v>0</v>
      </c>
      <c r="CW93" s="62">
        <v>1234332.6554133829</v>
      </c>
      <c r="CX93" s="62">
        <v>974403.5690067152</v>
      </c>
      <c r="DF93" s="62">
        <v>7730.6399999999803</v>
      </c>
      <c r="DG93" s="62">
        <v>16573.480000000018</v>
      </c>
      <c r="DH93" s="62">
        <v>22260.78000000001</v>
      </c>
      <c r="DI93" s="62">
        <v>24509.430000000011</v>
      </c>
      <c r="DJ93" s="62">
        <v>191026.56000000023</v>
      </c>
      <c r="DK93" s="62">
        <v>6883.8399999999883</v>
      </c>
      <c r="DN93" s="62">
        <v>0</v>
      </c>
      <c r="DO93" s="62">
        <v>23600.45227615182</v>
      </c>
      <c r="DP93" s="62">
        <v>16526.927364251977</v>
      </c>
      <c r="DR93" s="62">
        <v>0</v>
      </c>
      <c r="DS93" s="62">
        <v>1234332.6554133829</v>
      </c>
      <c r="DT93" s="62">
        <v>974403.5690067152</v>
      </c>
      <c r="DV93" s="62">
        <v>0</v>
      </c>
      <c r="DW93" s="62">
        <v>1257933.1076895348</v>
      </c>
      <c r="DX93" s="62">
        <v>990930.49637096713</v>
      </c>
      <c r="DZ93" s="62">
        <v>301014.51318517234</v>
      </c>
      <c r="EB93" s="62">
        <v>3527713.7861389401</v>
      </c>
      <c r="EC93" s="62">
        <v>607</v>
      </c>
      <c r="ED93" s="62">
        <v>5811.7195817774964</v>
      </c>
      <c r="EE93" s="62">
        <v>3642275.4965856811</v>
      </c>
      <c r="EF93" s="62">
        <v>618</v>
      </c>
      <c r="EG93" s="62">
        <v>5893.6496708506165</v>
      </c>
      <c r="EI93" s="62">
        <v>-81.930089073120143</v>
      </c>
      <c r="EJ93" s="62">
        <v>-114561.71044674097</v>
      </c>
      <c r="EK93" s="62" t="s">
        <v>616</v>
      </c>
      <c r="EL93" s="789">
        <v>-3.1453334750249584E-2</v>
      </c>
      <c r="EM93" s="62" t="s">
        <v>996</v>
      </c>
      <c r="EO93" s="62">
        <v>36117.148244177377</v>
      </c>
      <c r="ER93" s="62">
        <v>2212746.4558163243</v>
      </c>
      <c r="EU93" s="62">
        <v>-59.501067947573937</v>
      </c>
      <c r="EX93" s="62">
        <v>3531724.0178947626</v>
      </c>
      <c r="EY93" s="62">
        <v>3506898.1778947627</v>
      </c>
      <c r="FA93" s="62">
        <v>3543015.3261389402</v>
      </c>
    </row>
    <row r="94" spans="1:157" x14ac:dyDescent="0.2">
      <c r="A94" s="241" t="s">
        <v>73</v>
      </c>
      <c r="B94" s="793">
        <v>4178</v>
      </c>
      <c r="C94" s="241">
        <v>0</v>
      </c>
      <c r="D94" s="241">
        <v>771</v>
      </c>
      <c r="E94" s="241">
        <v>502</v>
      </c>
      <c r="F94" s="241">
        <v>1273</v>
      </c>
      <c r="G94" s="241">
        <v>0</v>
      </c>
      <c r="H94" s="241">
        <v>0</v>
      </c>
      <c r="I94" s="241">
        <v>0</v>
      </c>
      <c r="J94" s="241">
        <v>0</v>
      </c>
      <c r="K94" s="241">
        <v>771</v>
      </c>
      <c r="L94" s="241">
        <v>502</v>
      </c>
      <c r="M94" s="241">
        <v>1273</v>
      </c>
      <c r="N94" s="62">
        <v>4622346.0005254783</v>
      </c>
      <c r="O94" s="241"/>
      <c r="P94" s="241">
        <v>462.48089999999996</v>
      </c>
      <c r="Q94" s="241">
        <v>55.129921259842483</v>
      </c>
      <c r="R94" s="241">
        <v>46.108661417322864</v>
      </c>
      <c r="S94" s="241">
        <v>418.98740157480376</v>
      </c>
      <c r="T94" s="241">
        <v>171.40393700787456</v>
      </c>
      <c r="U94" s="241">
        <v>63.14881889763776</v>
      </c>
      <c r="V94" s="241">
        <v>51.120472440944845</v>
      </c>
      <c r="W94" s="241">
        <v>1268.3801125984264</v>
      </c>
      <c r="X94" s="241"/>
      <c r="Y94" s="241"/>
      <c r="Z94" s="241"/>
      <c r="AA94" s="241">
        <v>381361.75013999996</v>
      </c>
      <c r="AB94" s="794"/>
      <c r="AC94" s="794">
        <v>323045.8621102366</v>
      </c>
      <c r="AD94" s="795">
        <v>704407.61225023656</v>
      </c>
      <c r="AE94" s="241">
        <v>2.0648824006488242</v>
      </c>
      <c r="AF94" s="120">
        <v>3421.5101378751019</v>
      </c>
      <c r="AG94" s="120">
        <v>182.18246869409643</v>
      </c>
      <c r="AH94" s="795">
        <v>339755.72951699432</v>
      </c>
      <c r="AI94" s="120">
        <v>0</v>
      </c>
      <c r="AJ94" s="120">
        <v>48.922337870296182</v>
      </c>
      <c r="AK94" s="120">
        <v>0</v>
      </c>
      <c r="AL94" s="120">
        <v>133983.60672538014</v>
      </c>
      <c r="AM94" s="795">
        <v>133983.60672538014</v>
      </c>
      <c r="AN94" s="120">
        <v>0</v>
      </c>
      <c r="AO94" s="120">
        <v>69.000000000000014</v>
      </c>
      <c r="AP94" s="795">
        <v>0</v>
      </c>
      <c r="AQ94" s="795">
        <v>123717.00000000003</v>
      </c>
      <c r="AR94" s="795">
        <v>123717.00000000003</v>
      </c>
      <c r="AS94" s="795">
        <v>100000</v>
      </c>
      <c r="AT94" s="120">
        <v>0</v>
      </c>
      <c r="AU94" s="120">
        <v>23459.279999999999</v>
      </c>
      <c r="AV94" s="120">
        <v>0</v>
      </c>
      <c r="AW94" s="120">
        <v>6051090.7391559649</v>
      </c>
      <c r="AY94" s="120">
        <v>297485.89872664586</v>
      </c>
      <c r="AZ94" s="120">
        <v>0</v>
      </c>
      <c r="BA94" s="120">
        <v>84155.114138771052</v>
      </c>
      <c r="BB94" s="120">
        <v>84155.11</v>
      </c>
      <c r="BC94" s="821">
        <v>6432731.7520213816</v>
      </c>
      <c r="BD94" s="808">
        <v>-75744.859497261627</v>
      </c>
      <c r="BG94" s="808">
        <v>20392.7234501534</v>
      </c>
      <c r="BI94" s="808">
        <v>1578</v>
      </c>
      <c r="BL94" s="808">
        <v>610489</v>
      </c>
      <c r="BO94" s="808">
        <v>7439</v>
      </c>
      <c r="BP94" s="808">
        <v>6996885.6159742735</v>
      </c>
      <c r="BQ94" s="808">
        <v>1273</v>
      </c>
      <c r="BR94" s="814">
        <v>1354</v>
      </c>
      <c r="BS94" s="824">
        <v>-81</v>
      </c>
      <c r="BT94" s="824">
        <v>6752834.0871785507</v>
      </c>
      <c r="BU94" s="824">
        <v>146345.86212905589</v>
      </c>
      <c r="BV94" s="814">
        <v>1354</v>
      </c>
      <c r="BW94" s="814">
        <v>-1806.7390386303198</v>
      </c>
      <c r="BY94" s="62">
        <v>337345</v>
      </c>
      <c r="BZ94" s="62">
        <v>281763.04490009462</v>
      </c>
      <c r="CA94" s="62">
        <v>60292.623026421068</v>
      </c>
      <c r="CB94" s="62">
        <v>3421.5101378751019</v>
      </c>
      <c r="CC94" s="62">
        <v>339755.72951699432</v>
      </c>
      <c r="CD94" s="62">
        <v>123717.00000000003</v>
      </c>
      <c r="CE94" s="62">
        <v>1146294.9075813852</v>
      </c>
      <c r="CF94" s="62">
        <v>127.36610084237614</v>
      </c>
      <c r="CH94" s="62">
        <v>1105755.684217449</v>
      </c>
      <c r="CI94" s="62">
        <v>122.86174269082767</v>
      </c>
      <c r="CJ94" s="62">
        <v>4.5043581515484732</v>
      </c>
      <c r="CK94" s="781" t="s">
        <v>615</v>
      </c>
      <c r="CL94" s="781"/>
      <c r="CM94" s="781"/>
      <c r="CN94" s="62">
        <v>5927631.4591559647</v>
      </c>
      <c r="CV94" s="62">
        <v>0</v>
      </c>
      <c r="CW94" s="62">
        <v>2665743.6339599947</v>
      </c>
      <c r="CX94" s="62">
        <v>1956602.3665654841</v>
      </c>
      <c r="DF94" s="62">
        <v>5919.2996456692872</v>
      </c>
      <c r="DG94" s="62">
        <v>9924.4282834645728</v>
      </c>
      <c r="DH94" s="62">
        <v>135173.7154960632</v>
      </c>
      <c r="DI94" s="62">
        <v>73701.978874015986</v>
      </c>
      <c r="DJ94" s="62">
        <v>54338.295685039338</v>
      </c>
      <c r="DK94" s="62">
        <v>43988.144125984218</v>
      </c>
      <c r="DN94" s="62">
        <v>0</v>
      </c>
      <c r="DO94" s="62">
        <v>50969.043991353094</v>
      </c>
      <c r="DP94" s="62">
        <v>33186.070147417966</v>
      </c>
      <c r="DR94" s="62">
        <v>0</v>
      </c>
      <c r="DS94" s="62">
        <v>2665743.6339599947</v>
      </c>
      <c r="DT94" s="62">
        <v>1956602.3665654841</v>
      </c>
      <c r="DV94" s="62">
        <v>0</v>
      </c>
      <c r="DW94" s="62">
        <v>2716712.6779513475</v>
      </c>
      <c r="DX94" s="62">
        <v>1989788.436712902</v>
      </c>
      <c r="DZ94" s="62">
        <v>297485.89872664586</v>
      </c>
      <c r="EB94" s="62">
        <v>6348576.6420213813</v>
      </c>
      <c r="EC94" s="62">
        <v>1273</v>
      </c>
      <c r="ED94" s="62">
        <v>4987.0986975816031</v>
      </c>
      <c r="EE94" s="62">
        <v>6200253.211257603</v>
      </c>
      <c r="EF94" s="62">
        <v>1227</v>
      </c>
      <c r="EG94" s="62">
        <v>5053.1811012694398</v>
      </c>
      <c r="EI94" s="62">
        <v>-66.082403687836631</v>
      </c>
      <c r="EJ94" s="62">
        <v>148323.43076377828</v>
      </c>
      <c r="EK94" s="62" t="s">
        <v>681</v>
      </c>
      <c r="EL94" s="789">
        <v>2.3922157000696703E-2</v>
      </c>
      <c r="EO94" s="62">
        <v>75744.859497261627</v>
      </c>
      <c r="ER94" s="62">
        <v>4630756.2551669879</v>
      </c>
      <c r="EU94" s="62">
        <v>-59.501067947573937</v>
      </c>
      <c r="EX94" s="62">
        <v>6356986.8925241204</v>
      </c>
      <c r="EY94" s="62">
        <v>6333527.6125241201</v>
      </c>
      <c r="FA94" s="62">
        <v>6409272.4720213814</v>
      </c>
    </row>
    <row r="95" spans="1:157" x14ac:dyDescent="0.2">
      <c r="A95" s="241" t="s">
        <v>328</v>
      </c>
      <c r="B95" s="793">
        <v>4181</v>
      </c>
      <c r="C95" s="241">
        <v>0</v>
      </c>
      <c r="D95" s="241">
        <v>651</v>
      </c>
      <c r="E95" s="241">
        <v>436</v>
      </c>
      <c r="F95" s="241">
        <v>1087</v>
      </c>
      <c r="G95" s="241">
        <v>0</v>
      </c>
      <c r="H95" s="241">
        <v>8</v>
      </c>
      <c r="I95" s="241">
        <v>4</v>
      </c>
      <c r="J95" s="241">
        <v>0</v>
      </c>
      <c r="K95" s="241">
        <v>643</v>
      </c>
      <c r="L95" s="241">
        <v>432</v>
      </c>
      <c r="M95" s="241">
        <v>1075</v>
      </c>
      <c r="N95" s="62">
        <v>3906951.1527640666</v>
      </c>
      <c r="O95" s="241"/>
      <c r="P95" s="241">
        <v>260.6875</v>
      </c>
      <c r="Q95" s="241">
        <v>118.01199261992635</v>
      </c>
      <c r="R95" s="241">
        <v>54.543357933579337</v>
      </c>
      <c r="S95" s="241">
        <v>182.47232472324706</v>
      </c>
      <c r="T95" s="241">
        <v>47.601476014760102</v>
      </c>
      <c r="U95" s="241">
        <v>62.476937269372684</v>
      </c>
      <c r="V95" s="241">
        <v>3.9667896678966752</v>
      </c>
      <c r="W95" s="241">
        <v>729.7603782287822</v>
      </c>
      <c r="X95" s="241"/>
      <c r="Y95" s="241"/>
      <c r="Z95" s="241"/>
      <c r="AA95" s="241">
        <v>214962.91250000001</v>
      </c>
      <c r="AB95" s="794"/>
      <c r="AC95" s="794">
        <v>160921.73823800732</v>
      </c>
      <c r="AD95" s="795">
        <v>375884.65073800733</v>
      </c>
      <c r="AE95" s="241">
        <v>4.0111940298507465</v>
      </c>
      <c r="AF95" s="120">
        <v>6646.5485074626868</v>
      </c>
      <c r="AG95" s="120">
        <v>141.14017769002987</v>
      </c>
      <c r="AH95" s="795">
        <v>263215.14017769054</v>
      </c>
      <c r="AI95" s="120">
        <v>0</v>
      </c>
      <c r="AJ95" s="120">
        <v>12.85648574057034</v>
      </c>
      <c r="AK95" s="120">
        <v>0</v>
      </c>
      <c r="AL95" s="120">
        <v>35210.057497699985</v>
      </c>
      <c r="AM95" s="795">
        <v>35210.057497699985</v>
      </c>
      <c r="AN95" s="120">
        <v>0</v>
      </c>
      <c r="AO95" s="120">
        <v>51.425942962281468</v>
      </c>
      <c r="AP95" s="795">
        <v>0</v>
      </c>
      <c r="AQ95" s="795">
        <v>92206.71573137067</v>
      </c>
      <c r="AR95" s="795">
        <v>92206.71573137067</v>
      </c>
      <c r="AS95" s="795">
        <v>100000</v>
      </c>
      <c r="AT95" s="120">
        <v>0</v>
      </c>
      <c r="AU95" s="120">
        <v>18403.008000000002</v>
      </c>
      <c r="AV95" s="120">
        <v>0</v>
      </c>
      <c r="AW95" s="120">
        <v>4798517.2734162975</v>
      </c>
      <c r="AY95" s="120">
        <v>186871.17600819282</v>
      </c>
      <c r="AZ95" s="120">
        <v>0</v>
      </c>
      <c r="BA95" s="120">
        <v>71065.78766628349</v>
      </c>
      <c r="BB95" s="120">
        <v>71065.789999999994</v>
      </c>
      <c r="BC95" s="821">
        <v>5056454.2370907729</v>
      </c>
      <c r="BD95" s="808">
        <v>0</v>
      </c>
      <c r="BF95" s="808">
        <v>147535.19805668364</v>
      </c>
      <c r="BG95" s="808">
        <v>10196.3617250767</v>
      </c>
      <c r="BI95" s="808">
        <v>3399</v>
      </c>
      <c r="BO95" s="808">
        <v>5372</v>
      </c>
      <c r="BP95" s="808">
        <v>5222956.7968725339</v>
      </c>
      <c r="BQ95" s="808">
        <v>1075</v>
      </c>
      <c r="BR95" s="814">
        <v>1152</v>
      </c>
      <c r="BS95" s="824">
        <v>-77</v>
      </c>
      <c r="BT95" s="824">
        <v>5183173.6194475768</v>
      </c>
      <c r="BU95" s="824">
        <v>34411.177424957976</v>
      </c>
      <c r="BV95" s="814">
        <v>1152</v>
      </c>
      <c r="BW95" s="814">
        <v>-446.89840811633735</v>
      </c>
      <c r="BY95" s="62">
        <v>284875</v>
      </c>
      <c r="BZ95" s="62">
        <v>150353.86029520293</v>
      </c>
      <c r="CA95" s="62">
        <v>15844.525873964994</v>
      </c>
      <c r="CB95" s="62">
        <v>6646.5485074626868</v>
      </c>
      <c r="CC95" s="62">
        <v>263215.14017769054</v>
      </c>
      <c r="CD95" s="62">
        <v>92206.71573137067</v>
      </c>
      <c r="CE95" s="62">
        <v>813141.79058569181</v>
      </c>
      <c r="CF95" s="62">
        <v>90.349087842854644</v>
      </c>
      <c r="CH95" s="62">
        <v>818910.63082495856</v>
      </c>
      <c r="CI95" s="62">
        <v>90.990070091662062</v>
      </c>
      <c r="CJ95" s="62">
        <v>-0.64098224880741839</v>
      </c>
      <c r="CK95" s="781"/>
      <c r="CL95" s="781"/>
      <c r="CM95" s="781"/>
      <c r="CN95" s="62">
        <v>4680114.2654162962</v>
      </c>
      <c r="CV95" s="62">
        <v>0</v>
      </c>
      <c r="CW95" s="62">
        <v>2223181.7855204628</v>
      </c>
      <c r="CX95" s="62">
        <v>1683769.3672436038</v>
      </c>
      <c r="DF95" s="62">
        <v>12670.947647601492</v>
      </c>
      <c r="DG95" s="62">
        <v>11739.912361623617</v>
      </c>
      <c r="DH95" s="62">
        <v>58869.221402213967</v>
      </c>
      <c r="DI95" s="62">
        <v>20468.158671586698</v>
      </c>
      <c r="DJ95" s="62">
        <v>53760.154981549807</v>
      </c>
      <c r="DK95" s="62">
        <v>3413.343173431731</v>
      </c>
      <c r="DN95" s="62">
        <v>0</v>
      </c>
      <c r="DO95" s="62">
        <v>42507.257180856082</v>
      </c>
      <c r="DP95" s="62">
        <v>28558.530485427415</v>
      </c>
      <c r="DR95" s="62">
        <v>0</v>
      </c>
      <c r="DS95" s="62">
        <v>2223181.7855204628</v>
      </c>
      <c r="DT95" s="62">
        <v>1683769.3672436038</v>
      </c>
      <c r="DV95" s="62">
        <v>0</v>
      </c>
      <c r="DW95" s="62">
        <v>2265689.0427013189</v>
      </c>
      <c r="DX95" s="62">
        <v>1712327.8977290313</v>
      </c>
      <c r="DZ95" s="62">
        <v>186871.17600819282</v>
      </c>
      <c r="EB95" s="62">
        <v>4985388.4470907738</v>
      </c>
      <c r="EC95" s="62">
        <v>1075</v>
      </c>
      <c r="ED95" s="62">
        <v>4637.5706484565335</v>
      </c>
      <c r="EE95" s="62">
        <v>4975318.1881653024</v>
      </c>
      <c r="EF95" s="62">
        <v>1072</v>
      </c>
      <c r="EG95" s="62">
        <v>4641.1550262736027</v>
      </c>
      <c r="EI95" s="62">
        <v>-3.5843778170692531</v>
      </c>
      <c r="EJ95" s="62">
        <v>10070.258925471455</v>
      </c>
      <c r="EK95" s="62" t="s">
        <v>681</v>
      </c>
      <c r="EL95" s="789">
        <v>2.0240431957548755E-3</v>
      </c>
      <c r="EO95" s="62">
        <v>0</v>
      </c>
      <c r="EP95" s="701" t="s">
        <v>1022</v>
      </c>
      <c r="ER95" s="62">
        <v>3978016.9404303501</v>
      </c>
      <c r="EU95" s="62">
        <v>0</v>
      </c>
      <c r="EV95" s="701" t="s">
        <v>1022</v>
      </c>
      <c r="EX95" s="62">
        <v>5056454.2370907739</v>
      </c>
      <c r="EY95" s="62">
        <v>5038051.2290907735</v>
      </c>
      <c r="FA95" s="62">
        <v>5038051.2290907735</v>
      </c>
    </row>
    <row r="96" spans="1:157" x14ac:dyDescent="0.2">
      <c r="A96" s="241" t="s">
        <v>74</v>
      </c>
      <c r="B96" s="793">
        <v>4182</v>
      </c>
      <c r="C96" s="241">
        <v>0</v>
      </c>
      <c r="D96" s="241">
        <v>812</v>
      </c>
      <c r="E96" s="241">
        <v>515</v>
      </c>
      <c r="F96" s="241">
        <v>1327</v>
      </c>
      <c r="G96" s="241">
        <v>0</v>
      </c>
      <c r="H96" s="241">
        <v>0</v>
      </c>
      <c r="I96" s="241">
        <v>0</v>
      </c>
      <c r="J96" s="241">
        <v>0</v>
      </c>
      <c r="K96" s="241">
        <v>812</v>
      </c>
      <c r="L96" s="241">
        <v>515</v>
      </c>
      <c r="M96" s="241">
        <v>1327</v>
      </c>
      <c r="N96" s="62">
        <v>4814773.0781921158</v>
      </c>
      <c r="O96" s="241"/>
      <c r="P96" s="241">
        <v>160.69970000000001</v>
      </c>
      <c r="Q96" s="241">
        <v>125.09426847662141</v>
      </c>
      <c r="R96" s="241">
        <v>50.037707390648549</v>
      </c>
      <c r="S96" s="241">
        <v>32.02413273001514</v>
      </c>
      <c r="T96" s="241">
        <v>11.00829562594269</v>
      </c>
      <c r="U96" s="241">
        <v>2.0015082956259365</v>
      </c>
      <c r="V96" s="241">
        <v>0</v>
      </c>
      <c r="W96" s="241">
        <v>380.86561251885377</v>
      </c>
      <c r="X96" s="241"/>
      <c r="Y96" s="241"/>
      <c r="Z96" s="241"/>
      <c r="AA96" s="241">
        <v>132512.97262000002</v>
      </c>
      <c r="AB96" s="794"/>
      <c r="AC96" s="794">
        <v>40988.828340874825</v>
      </c>
      <c r="AD96" s="795">
        <v>173501.80096087483</v>
      </c>
      <c r="AE96" s="241">
        <v>9.1517241379310352</v>
      </c>
      <c r="AF96" s="120">
        <v>15164.406896551725</v>
      </c>
      <c r="AG96" s="120">
        <v>91.596203623813579</v>
      </c>
      <c r="AH96" s="795">
        <v>170819.59206212242</v>
      </c>
      <c r="AI96" s="120">
        <v>0</v>
      </c>
      <c r="AJ96" s="120">
        <v>31.117246596066618</v>
      </c>
      <c r="AK96" s="120">
        <v>0</v>
      </c>
      <c r="AL96" s="120">
        <v>85220.803252647645</v>
      </c>
      <c r="AM96" s="795">
        <v>85220.803252647645</v>
      </c>
      <c r="AN96" s="120">
        <v>0</v>
      </c>
      <c r="AO96" s="120">
        <v>34.00000000000005</v>
      </c>
      <c r="AP96" s="795">
        <v>0</v>
      </c>
      <c r="AQ96" s="795">
        <v>60962.000000000087</v>
      </c>
      <c r="AR96" s="795">
        <v>60962.000000000087</v>
      </c>
      <c r="AS96" s="795">
        <v>100000</v>
      </c>
      <c r="AT96" s="120">
        <v>0</v>
      </c>
      <c r="AU96" s="120">
        <v>96216.639999999999</v>
      </c>
      <c r="AV96" s="120">
        <v>0</v>
      </c>
      <c r="AW96" s="120">
        <v>5516658.3213643124</v>
      </c>
      <c r="AY96" s="120">
        <v>191877.7208894724</v>
      </c>
      <c r="AZ96" s="120">
        <v>0</v>
      </c>
      <c r="BA96" s="120">
        <v>87724.930449449486</v>
      </c>
      <c r="BB96" s="120">
        <v>87724.93</v>
      </c>
      <c r="BC96" s="821">
        <v>5796260.9727032343</v>
      </c>
      <c r="BD96" s="808">
        <v>-78957.91716643062</v>
      </c>
      <c r="BG96" s="808">
        <v>36415.577589559645</v>
      </c>
      <c r="BI96" s="808">
        <v>15173</v>
      </c>
      <c r="BL96" s="808">
        <v>973188</v>
      </c>
      <c r="BO96" s="808">
        <v>10368</v>
      </c>
      <c r="BP96" s="808">
        <v>6752447.6331263632</v>
      </c>
      <c r="BQ96" s="808">
        <v>1327</v>
      </c>
      <c r="BR96" s="814">
        <v>1527</v>
      </c>
      <c r="BS96" s="824">
        <v>-200</v>
      </c>
      <c r="BT96" s="824">
        <v>6689428.4461256349</v>
      </c>
      <c r="BU96" s="824">
        <v>66575.520334061235</v>
      </c>
      <c r="BV96" s="814">
        <v>1527</v>
      </c>
      <c r="BW96" s="814">
        <v>-332.87760167030615</v>
      </c>
      <c r="BY96" s="62">
        <v>351655</v>
      </c>
      <c r="BZ96" s="62">
        <v>69400.72038434993</v>
      </c>
      <c r="CA96" s="62">
        <v>38349.361463691443</v>
      </c>
      <c r="CB96" s="62">
        <v>15164.406896551725</v>
      </c>
      <c r="CC96" s="62">
        <v>170819.59206212242</v>
      </c>
      <c r="CD96" s="62">
        <v>60962.000000000087</v>
      </c>
      <c r="CE96" s="62">
        <v>706351.08080671565</v>
      </c>
      <c r="CF96" s="62">
        <v>78.48345342296841</v>
      </c>
      <c r="CH96" s="62">
        <v>625068.53170515003</v>
      </c>
      <c r="CI96" s="62">
        <v>69.452059078350004</v>
      </c>
      <c r="CJ96" s="62">
        <v>9.0313943446184055</v>
      </c>
      <c r="CK96" s="781"/>
      <c r="CL96" s="781"/>
      <c r="CM96" s="781"/>
      <c r="CN96" s="62">
        <v>5320441.6813643128</v>
      </c>
      <c r="CV96" s="62">
        <v>0</v>
      </c>
      <c r="CW96" s="62">
        <v>2807501.7260382823</v>
      </c>
      <c r="CX96" s="62">
        <v>2007271.3521538333</v>
      </c>
      <c r="DF96" s="62">
        <v>13431.371606334842</v>
      </c>
      <c r="DG96" s="62">
        <v>10770.116138763195</v>
      </c>
      <c r="DH96" s="62">
        <v>10331.625701357485</v>
      </c>
      <c r="DI96" s="62">
        <v>4733.4570361990973</v>
      </c>
      <c r="DJ96" s="62">
        <v>1722.2578582202059</v>
      </c>
      <c r="DK96" s="62">
        <v>0</v>
      </c>
      <c r="DN96" s="62">
        <v>0</v>
      </c>
      <c r="DO96" s="62">
        <v>53679.460079090415</v>
      </c>
      <c r="DP96" s="62">
        <v>34045.470370359071</v>
      </c>
      <c r="DR96" s="62">
        <v>0</v>
      </c>
      <c r="DS96" s="62">
        <v>2807501.7260382823</v>
      </c>
      <c r="DT96" s="62">
        <v>2007271.3521538333</v>
      </c>
      <c r="DV96" s="62">
        <v>0</v>
      </c>
      <c r="DW96" s="62">
        <v>2861181.1861173725</v>
      </c>
      <c r="DX96" s="62">
        <v>2041316.8225241923</v>
      </c>
      <c r="DZ96" s="62">
        <v>191877.7208894724</v>
      </c>
      <c r="EB96" s="62">
        <v>5708536.0427032346</v>
      </c>
      <c r="EC96" s="62">
        <v>1327</v>
      </c>
      <c r="ED96" s="62">
        <v>4301.8357518487073</v>
      </c>
      <c r="EE96" s="62">
        <v>5658394.3893421488</v>
      </c>
      <c r="EF96" s="62">
        <v>1301</v>
      </c>
      <c r="EG96" s="62">
        <v>4349.2654798940421</v>
      </c>
      <c r="EI96" s="62">
        <v>-47.429728045334741</v>
      </c>
      <c r="EJ96" s="62">
        <v>50141.653361085802</v>
      </c>
      <c r="EK96" s="62" t="s">
        <v>681</v>
      </c>
      <c r="EL96" s="789">
        <v>8.861463148544392E-3</v>
      </c>
      <c r="EO96" s="62">
        <v>78957.91716643062</v>
      </c>
      <c r="ER96" s="62">
        <v>4823540.0914751347</v>
      </c>
      <c r="EU96" s="62">
        <v>-59.501067947573937</v>
      </c>
      <c r="EX96" s="62">
        <v>5717303.0555368038</v>
      </c>
      <c r="EY96" s="62">
        <v>5621086.4155368041</v>
      </c>
      <c r="FA96" s="62">
        <v>5700044.3327032346</v>
      </c>
    </row>
    <row r="97" spans="1:157" x14ac:dyDescent="0.2">
      <c r="A97" s="241" t="s">
        <v>75</v>
      </c>
      <c r="B97" s="793">
        <v>4609</v>
      </c>
      <c r="C97" s="241">
        <v>0</v>
      </c>
      <c r="D97" s="241">
        <v>480</v>
      </c>
      <c r="E97" s="241">
        <v>347</v>
      </c>
      <c r="F97" s="241">
        <v>827</v>
      </c>
      <c r="G97" s="241">
        <v>0</v>
      </c>
      <c r="H97" s="241">
        <v>0</v>
      </c>
      <c r="I97" s="241">
        <v>0</v>
      </c>
      <c r="J97" s="241">
        <v>0</v>
      </c>
      <c r="K97" s="241">
        <v>480</v>
      </c>
      <c r="L97" s="241">
        <v>347</v>
      </c>
      <c r="M97" s="241">
        <v>827</v>
      </c>
      <c r="N97" s="62">
        <v>3012079.0854295664</v>
      </c>
      <c r="O97" s="241"/>
      <c r="P97" s="241">
        <v>451.29389999999995</v>
      </c>
      <c r="Q97" s="241">
        <v>40.243309002433087</v>
      </c>
      <c r="R97" s="241">
        <v>47.285888077858914</v>
      </c>
      <c r="S97" s="241">
        <v>90.547445255474855</v>
      </c>
      <c r="T97" s="241">
        <v>210.27128953771282</v>
      </c>
      <c r="U97" s="241">
        <v>147.89416058394147</v>
      </c>
      <c r="V97" s="241">
        <v>200.21046228710497</v>
      </c>
      <c r="W97" s="241">
        <v>1187.7464547445261</v>
      </c>
      <c r="X97" s="241"/>
      <c r="Y97" s="241"/>
      <c r="Z97" s="241"/>
      <c r="AA97" s="241">
        <v>372136.94993999996</v>
      </c>
      <c r="AB97" s="794"/>
      <c r="AC97" s="794">
        <v>433662.77310219011</v>
      </c>
      <c r="AD97" s="795">
        <v>805799.72304219007</v>
      </c>
      <c r="AE97" s="241">
        <v>6.6084474885844742</v>
      </c>
      <c r="AF97" s="120">
        <v>10950.197488584474</v>
      </c>
      <c r="AG97" s="120">
        <v>224.4233378561737</v>
      </c>
      <c r="AH97" s="795">
        <v>418531.57123473549</v>
      </c>
      <c r="AI97" s="120">
        <v>0</v>
      </c>
      <c r="AJ97" s="120">
        <v>39.047215496368004</v>
      </c>
      <c r="AK97" s="120">
        <v>0</v>
      </c>
      <c r="AL97" s="120">
        <v>106938.60907990305</v>
      </c>
      <c r="AM97" s="795">
        <v>106938.60907990305</v>
      </c>
      <c r="AN97" s="120">
        <v>0</v>
      </c>
      <c r="AO97" s="120">
        <v>68.999999999999986</v>
      </c>
      <c r="AP97" s="795">
        <v>0</v>
      </c>
      <c r="AQ97" s="795">
        <v>123716.99999999997</v>
      </c>
      <c r="AR97" s="795">
        <v>123716.99999999997</v>
      </c>
      <c r="AS97" s="795">
        <v>100000</v>
      </c>
      <c r="AT97" s="120">
        <v>0</v>
      </c>
      <c r="AU97" s="120">
        <v>52840.319999999978</v>
      </c>
      <c r="AV97" s="120">
        <v>307207.079384004</v>
      </c>
      <c r="AW97" s="120">
        <v>4938063.5856589833</v>
      </c>
      <c r="AY97" s="120">
        <v>0</v>
      </c>
      <c r="AZ97" s="120">
        <v>-52820.75842239098</v>
      </c>
      <c r="BA97" s="120">
        <v>54671.075720945533</v>
      </c>
      <c r="BB97" s="120">
        <v>54671.08</v>
      </c>
      <c r="BC97" s="821">
        <v>4939913.9029575381</v>
      </c>
      <c r="BD97" s="808">
        <v>0</v>
      </c>
      <c r="BG97" s="808">
        <v>21849.346553735788</v>
      </c>
      <c r="BI97" s="808">
        <v>6069</v>
      </c>
      <c r="BL97" s="808">
        <v>579812.66666666674</v>
      </c>
      <c r="BO97" s="808">
        <v>5074</v>
      </c>
      <c r="BP97" s="808">
        <v>5552718.9161779406</v>
      </c>
      <c r="BQ97" s="808">
        <v>827</v>
      </c>
      <c r="BR97" s="814">
        <v>982</v>
      </c>
      <c r="BS97" s="824">
        <v>-155</v>
      </c>
      <c r="BT97" s="824">
        <v>5824604.2913011666</v>
      </c>
      <c r="BU97" s="824">
        <v>-276959.37512322608</v>
      </c>
      <c r="BV97" s="814">
        <v>982</v>
      </c>
      <c r="BW97" s="814">
        <v>1786.8346782143619</v>
      </c>
      <c r="BY97" s="62">
        <v>219155</v>
      </c>
      <c r="BZ97" s="62">
        <v>322319.88921687606</v>
      </c>
      <c r="CA97" s="62">
        <v>48122.374085956377</v>
      </c>
      <c r="CB97" s="62">
        <v>10950.197488584474</v>
      </c>
      <c r="CC97" s="62">
        <v>418531.57123473549</v>
      </c>
      <c r="CD97" s="62">
        <v>123716.99999999997</v>
      </c>
      <c r="CE97" s="62">
        <v>1142796.0320261524</v>
      </c>
      <c r="CF97" s="62">
        <v>126.97733689179471</v>
      </c>
      <c r="CH97" s="62">
        <v>1119662.1087118965</v>
      </c>
      <c r="CI97" s="62">
        <v>124.40690096798849</v>
      </c>
      <c r="CJ97" s="62">
        <v>2.5704359238062153</v>
      </c>
      <c r="CK97" s="781" t="s">
        <v>615</v>
      </c>
      <c r="CL97" s="781"/>
      <c r="CM97" s="781"/>
      <c r="CN97" s="62">
        <v>4478016.1862749793</v>
      </c>
      <c r="CV97" s="62">
        <v>0</v>
      </c>
      <c r="CW97" s="62">
        <v>1659606.9316482458</v>
      </c>
      <c r="CX97" s="62">
        <v>1352472.1537813207</v>
      </c>
      <c r="DF97" s="62">
        <v>4320.924087591241</v>
      </c>
      <c r="DG97" s="62">
        <v>10177.814549878352</v>
      </c>
      <c r="DH97" s="62">
        <v>29212.416788321298</v>
      </c>
      <c r="DI97" s="62">
        <v>90414.551788321143</v>
      </c>
      <c r="DJ97" s="62">
        <v>127259.96729926996</v>
      </c>
      <c r="DK97" s="62">
        <v>172277.09858880809</v>
      </c>
      <c r="DN97" s="62">
        <v>0</v>
      </c>
      <c r="DO97" s="62">
        <v>31731.700539363792</v>
      </c>
      <c r="DP97" s="62">
        <v>22939.375181581741</v>
      </c>
      <c r="DR97" s="62">
        <v>0</v>
      </c>
      <c r="DS97" s="62">
        <v>1659606.9316482458</v>
      </c>
      <c r="DT97" s="62">
        <v>1352472.1537813207</v>
      </c>
      <c r="DV97" s="62">
        <v>0</v>
      </c>
      <c r="DW97" s="62">
        <v>1691338.6321876096</v>
      </c>
      <c r="DX97" s="62">
        <v>1375411.5289629025</v>
      </c>
      <c r="DZ97" s="62">
        <v>-52820.75842239098</v>
      </c>
      <c r="EB97" s="62">
        <v>4885242.8229575381</v>
      </c>
      <c r="EC97" s="62">
        <v>827</v>
      </c>
      <c r="ED97" s="62">
        <v>5907.1860011578456</v>
      </c>
      <c r="EE97" s="62">
        <v>5224447.2629094226</v>
      </c>
      <c r="EF97" s="62">
        <v>888</v>
      </c>
      <c r="EG97" s="62">
        <v>5883.3865573304311</v>
      </c>
      <c r="EI97" s="62">
        <v>23.799443827414507</v>
      </c>
      <c r="EJ97" s="62">
        <v>-339204.43995188456</v>
      </c>
      <c r="EK97" s="62" t="s">
        <v>616</v>
      </c>
      <c r="EL97" s="789">
        <v>-6.4926378405624152E-2</v>
      </c>
      <c r="EO97" s="62">
        <v>0</v>
      </c>
      <c r="EP97" s="701" t="s">
        <v>1022</v>
      </c>
      <c r="ER97" s="62">
        <v>3066750.1611505123</v>
      </c>
      <c r="EU97" s="62">
        <v>0</v>
      </c>
      <c r="EV97" s="701" t="s">
        <v>1022</v>
      </c>
      <c r="EX97" s="62">
        <v>4939913.9029575381</v>
      </c>
      <c r="EY97" s="62">
        <v>4887073.5829575378</v>
      </c>
      <c r="FA97" s="62">
        <v>4887073.5829575378</v>
      </c>
    </row>
    <row r="98" spans="1:157" x14ac:dyDescent="0.2">
      <c r="A98" s="241" t="s">
        <v>76</v>
      </c>
      <c r="B98" s="793">
        <v>5406</v>
      </c>
      <c r="C98" s="241">
        <v>0</v>
      </c>
      <c r="D98" s="241">
        <v>518</v>
      </c>
      <c r="E98" s="241">
        <v>391</v>
      </c>
      <c r="F98" s="241">
        <v>909</v>
      </c>
      <c r="G98" s="241">
        <v>0</v>
      </c>
      <c r="H98" s="241">
        <v>0</v>
      </c>
      <c r="I98" s="241">
        <v>0</v>
      </c>
      <c r="J98" s="241">
        <v>0</v>
      </c>
      <c r="K98" s="241">
        <v>518</v>
      </c>
      <c r="L98" s="241">
        <v>391</v>
      </c>
      <c r="M98" s="241">
        <v>909</v>
      </c>
      <c r="N98" s="62">
        <v>3314959.6623302344</v>
      </c>
      <c r="O98" s="241"/>
      <c r="P98" s="241">
        <v>277.88130000000001</v>
      </c>
      <c r="Q98" s="241">
        <v>99.21830209481827</v>
      </c>
      <c r="R98" s="241">
        <v>166.36604189636174</v>
      </c>
      <c r="S98" s="241">
        <v>231.50937155457564</v>
      </c>
      <c r="T98" s="241">
        <v>35.077177508269045</v>
      </c>
      <c r="U98" s="241">
        <v>45.099228224917304</v>
      </c>
      <c r="V98" s="241">
        <v>18.039691289966957</v>
      </c>
      <c r="W98" s="241">
        <v>873.19111256890903</v>
      </c>
      <c r="X98" s="241"/>
      <c r="Y98" s="241"/>
      <c r="Z98" s="241"/>
      <c r="AA98" s="241">
        <v>229140.91998000001</v>
      </c>
      <c r="AB98" s="794"/>
      <c r="AC98" s="794">
        <v>190563.86242557896</v>
      </c>
      <c r="AD98" s="795">
        <v>419704.782405579</v>
      </c>
      <c r="AE98" s="241">
        <v>4.8923573735199142</v>
      </c>
      <c r="AF98" s="120">
        <v>8106.6361679224974</v>
      </c>
      <c r="AG98" s="120">
        <v>125.68888888888925</v>
      </c>
      <c r="AH98" s="795">
        <v>234399.72266666737</v>
      </c>
      <c r="AI98" s="120">
        <v>0</v>
      </c>
      <c r="AJ98" s="120">
        <v>19.211345939933246</v>
      </c>
      <c r="AK98" s="120">
        <v>0</v>
      </c>
      <c r="AL98" s="120">
        <v>52614.113125695178</v>
      </c>
      <c r="AM98" s="795">
        <v>52614.113125695178</v>
      </c>
      <c r="AN98" s="120">
        <v>0</v>
      </c>
      <c r="AO98" s="120">
        <v>61</v>
      </c>
      <c r="AP98" s="795">
        <v>0</v>
      </c>
      <c r="AQ98" s="795">
        <v>109373</v>
      </c>
      <c r="AR98" s="795">
        <v>109373</v>
      </c>
      <c r="AS98" s="795">
        <v>100000</v>
      </c>
      <c r="AT98" s="120">
        <v>0</v>
      </c>
      <c r="AU98" s="120">
        <v>23231.51999999999</v>
      </c>
      <c r="AV98" s="120">
        <v>0</v>
      </c>
      <c r="AW98" s="120">
        <v>4262389.4366960982</v>
      </c>
      <c r="AY98" s="120">
        <v>45525.694952796679</v>
      </c>
      <c r="AZ98" s="120">
        <v>0</v>
      </c>
      <c r="BA98" s="120">
        <v>60091.907896420176</v>
      </c>
      <c r="BB98" s="120">
        <v>60091.91</v>
      </c>
      <c r="BC98" s="821">
        <v>4368007.0395453144</v>
      </c>
      <c r="BD98" s="808">
        <v>-54086.470764344704</v>
      </c>
      <c r="BG98" s="808">
        <v>5826.492414329543</v>
      </c>
      <c r="BI98" s="808">
        <v>6373</v>
      </c>
      <c r="BP98" s="808">
        <v>4326120.061195299</v>
      </c>
      <c r="BQ98" s="808">
        <v>909</v>
      </c>
      <c r="BR98" s="814">
        <v>929</v>
      </c>
      <c r="BS98" s="824">
        <v>-20</v>
      </c>
      <c r="BT98" s="824">
        <v>4507305.5830825008</v>
      </c>
      <c r="BU98" s="824">
        <v>-181185.52188720182</v>
      </c>
      <c r="BV98" s="814">
        <v>929</v>
      </c>
      <c r="BW98" s="814">
        <v>9059.2760943600915</v>
      </c>
      <c r="BY98" s="62">
        <v>240885</v>
      </c>
      <c r="BZ98" s="62">
        <v>167881.91296223161</v>
      </c>
      <c r="CA98" s="62">
        <v>23676.350906562831</v>
      </c>
      <c r="CB98" s="62">
        <v>8106.6361679224974</v>
      </c>
      <c r="CC98" s="62">
        <v>234399.72266666737</v>
      </c>
      <c r="CD98" s="62">
        <v>109373</v>
      </c>
      <c r="CE98" s="62">
        <v>784322.62270338438</v>
      </c>
      <c r="CF98" s="62">
        <v>87.146958078153816</v>
      </c>
      <c r="CH98" s="62">
        <v>639859.82319593255</v>
      </c>
      <c r="CI98" s="62">
        <v>71.095535910659166</v>
      </c>
      <c r="CJ98" s="62">
        <v>16.05142216749465</v>
      </c>
      <c r="CK98" s="781" t="s">
        <v>615</v>
      </c>
      <c r="CL98" s="781"/>
      <c r="CM98" s="781"/>
      <c r="CN98" s="62">
        <v>4139157.9166960986</v>
      </c>
      <c r="CV98" s="62">
        <v>0</v>
      </c>
      <c r="CW98" s="62">
        <v>1790992.480403732</v>
      </c>
      <c r="CX98" s="62">
        <v>1523967.1819265026</v>
      </c>
      <c r="DF98" s="62">
        <v>10653.069095920639</v>
      </c>
      <c r="DG98" s="62">
        <v>35808.626857772899</v>
      </c>
      <c r="DH98" s="62">
        <v>74689.553450937194</v>
      </c>
      <c r="DI98" s="62">
        <v>15082.835556780607</v>
      </c>
      <c r="DJ98" s="62">
        <v>38806.983902976841</v>
      </c>
      <c r="DK98" s="62">
        <v>15522.793561190767</v>
      </c>
      <c r="DN98" s="62">
        <v>0</v>
      </c>
      <c r="DO98" s="62">
        <v>34243.793498730091</v>
      </c>
      <c r="DP98" s="62">
        <v>25848.114397690089</v>
      </c>
      <c r="DR98" s="62">
        <v>0</v>
      </c>
      <c r="DS98" s="62">
        <v>1790992.480403732</v>
      </c>
      <c r="DT98" s="62">
        <v>1523967.1819265026</v>
      </c>
      <c r="DV98" s="62">
        <v>0</v>
      </c>
      <c r="DW98" s="62">
        <v>1825236.2739024621</v>
      </c>
      <c r="DX98" s="62">
        <v>1549815.2963241928</v>
      </c>
      <c r="DZ98" s="62">
        <v>45525.694952796679</v>
      </c>
      <c r="EB98" s="62">
        <v>4307915.1295453142</v>
      </c>
      <c r="EC98" s="62">
        <v>909</v>
      </c>
      <c r="ED98" s="62">
        <v>4739.1805605559011</v>
      </c>
      <c r="EE98" s="62">
        <v>4507305.5830825008</v>
      </c>
      <c r="EF98" s="62">
        <v>938</v>
      </c>
      <c r="EG98" s="62">
        <v>4805.2298327105555</v>
      </c>
      <c r="EI98" s="62">
        <v>-66.049272154654318</v>
      </c>
      <c r="EJ98" s="62">
        <v>-199390.45353718661</v>
      </c>
      <c r="EK98" s="62" t="s">
        <v>616</v>
      </c>
      <c r="EL98" s="789">
        <v>-4.4237172266635066E-2</v>
      </c>
      <c r="EO98" s="62">
        <v>54086.470764344704</v>
      </c>
      <c r="ER98" s="62">
        <v>3320965.0994623103</v>
      </c>
      <c r="EU98" s="62">
        <v>-59.501067947573937</v>
      </c>
      <c r="EX98" s="62">
        <v>4313920.5687809698</v>
      </c>
      <c r="EY98" s="62">
        <v>4290689.0487809703</v>
      </c>
      <c r="FA98" s="62">
        <v>4344775.5195453148</v>
      </c>
    </row>
    <row r="99" spans="1:157" x14ac:dyDescent="0.2">
      <c r="A99" s="241" t="s">
        <v>77</v>
      </c>
      <c r="B99" s="793">
        <v>5407</v>
      </c>
      <c r="C99" s="241">
        <v>0</v>
      </c>
      <c r="D99" s="241">
        <v>596</v>
      </c>
      <c r="E99" s="241">
        <v>389</v>
      </c>
      <c r="F99" s="241">
        <v>985</v>
      </c>
      <c r="G99" s="241">
        <v>0</v>
      </c>
      <c r="H99" s="241">
        <v>0</v>
      </c>
      <c r="I99" s="241">
        <v>0</v>
      </c>
      <c r="J99" s="241">
        <v>0</v>
      </c>
      <c r="K99" s="241">
        <v>596</v>
      </c>
      <c r="L99" s="241">
        <v>389</v>
      </c>
      <c r="M99" s="241">
        <v>985</v>
      </c>
      <c r="N99" s="62">
        <v>3576850.5601710211</v>
      </c>
      <c r="O99" s="241"/>
      <c r="P99" s="241">
        <v>375.28500000000003</v>
      </c>
      <c r="Q99" s="241">
        <v>51.103763987792462</v>
      </c>
      <c r="R99" s="241">
        <v>58.118006103763996</v>
      </c>
      <c r="S99" s="241">
        <v>161.32756866734454</v>
      </c>
      <c r="T99" s="241">
        <v>213.43336724313352</v>
      </c>
      <c r="U99" s="241">
        <v>110.22380467955207</v>
      </c>
      <c r="V99" s="241">
        <v>47.095625635808787</v>
      </c>
      <c r="W99" s="241">
        <v>1016.5871363173953</v>
      </c>
      <c r="X99" s="241"/>
      <c r="Y99" s="241"/>
      <c r="Z99" s="241"/>
      <c r="AA99" s="241">
        <v>309460.01100000006</v>
      </c>
      <c r="AB99" s="794"/>
      <c r="AC99" s="794">
        <v>297188.26795523881</v>
      </c>
      <c r="AD99" s="795">
        <v>606648.27895523887</v>
      </c>
      <c r="AE99" s="241">
        <v>2.9550000000000001</v>
      </c>
      <c r="AF99" s="120">
        <v>4896.4350000000004</v>
      </c>
      <c r="AG99" s="120">
        <v>172.73029966703703</v>
      </c>
      <c r="AH99" s="795">
        <v>322128.19045505073</v>
      </c>
      <c r="AI99" s="120">
        <v>0</v>
      </c>
      <c r="AJ99" s="120">
        <v>22.000000000000039</v>
      </c>
      <c r="AK99" s="120">
        <v>0</v>
      </c>
      <c r="AL99" s="120">
        <v>60251.400000000103</v>
      </c>
      <c r="AM99" s="795">
        <v>60251.400000000103</v>
      </c>
      <c r="AN99" s="120">
        <v>0</v>
      </c>
      <c r="AO99" s="120">
        <v>91.000000000000043</v>
      </c>
      <c r="AP99" s="795">
        <v>0</v>
      </c>
      <c r="AQ99" s="795">
        <v>163163.00000000009</v>
      </c>
      <c r="AR99" s="795">
        <v>163163.00000000009</v>
      </c>
      <c r="AS99" s="795">
        <v>100000</v>
      </c>
      <c r="AT99" s="120">
        <v>0</v>
      </c>
      <c r="AU99" s="120">
        <v>25281.360000000001</v>
      </c>
      <c r="AV99" s="120">
        <v>369497.7244444337</v>
      </c>
      <c r="AW99" s="120">
        <v>5228716.9490257446</v>
      </c>
      <c r="AY99" s="120">
        <v>0</v>
      </c>
      <c r="AZ99" s="120">
        <v>-165930</v>
      </c>
      <c r="BA99" s="120">
        <v>65116.093815152781</v>
      </c>
      <c r="BB99" s="120">
        <v>65116.09</v>
      </c>
      <c r="BC99" s="821">
        <v>5127903</v>
      </c>
      <c r="BD99" s="808">
        <v>-58608.551928360321</v>
      </c>
      <c r="BG99" s="808">
        <v>2913.2462071647715</v>
      </c>
      <c r="BI99" s="808">
        <v>3641</v>
      </c>
      <c r="BL99" s="808">
        <v>625987</v>
      </c>
      <c r="BN99" s="808">
        <v>224811</v>
      </c>
      <c r="BO99" s="808">
        <v>7080</v>
      </c>
      <c r="BP99" s="808">
        <v>5933726.6942788046</v>
      </c>
      <c r="BQ99" s="808">
        <v>985</v>
      </c>
      <c r="BR99" s="814">
        <v>1146</v>
      </c>
      <c r="BS99" s="824">
        <v>-161</v>
      </c>
      <c r="BT99" s="824">
        <v>5927560.5147727178</v>
      </c>
      <c r="BU99" s="824">
        <v>-67278.985009302385</v>
      </c>
      <c r="BV99" s="814">
        <v>1146</v>
      </c>
      <c r="BW99" s="814">
        <v>417.88189446771668</v>
      </c>
      <c r="BY99" s="62">
        <v>261025</v>
      </c>
      <c r="BZ99" s="62">
        <v>242659.31158209557</v>
      </c>
      <c r="CA99" s="62">
        <v>27113.130000000048</v>
      </c>
      <c r="CB99" s="62">
        <v>4896.4350000000004</v>
      </c>
      <c r="CC99" s="62">
        <v>322128.19045505073</v>
      </c>
      <c r="CD99" s="62">
        <v>163163.00000000009</v>
      </c>
      <c r="CE99" s="62">
        <v>1020985.0670371464</v>
      </c>
      <c r="CF99" s="62">
        <v>113.4427852263496</v>
      </c>
      <c r="CH99" s="62">
        <v>895709.48182899482</v>
      </c>
      <c r="CI99" s="62">
        <v>99.523275758777203</v>
      </c>
      <c r="CJ99" s="62">
        <v>13.919509467572396</v>
      </c>
      <c r="CK99" s="781" t="s">
        <v>615</v>
      </c>
      <c r="CL99" s="781"/>
      <c r="CM99" s="781"/>
      <c r="CN99" s="62">
        <v>4733937.8645813111</v>
      </c>
      <c r="CV99" s="62">
        <v>0</v>
      </c>
      <c r="CW99" s="62">
        <v>2060678.606796572</v>
      </c>
      <c r="CX99" s="62">
        <v>1516171.9533744489</v>
      </c>
      <c r="DF99" s="62">
        <v>5487.0111393692769</v>
      </c>
      <c r="DG99" s="62">
        <v>12509.319633774163</v>
      </c>
      <c r="DH99" s="62">
        <v>52047.500203458694</v>
      </c>
      <c r="DI99" s="62">
        <v>91774.213580874988</v>
      </c>
      <c r="DJ99" s="62">
        <v>94845.37945066097</v>
      </c>
      <c r="DK99" s="62">
        <v>40524.843947100744</v>
      </c>
      <c r="DN99" s="62">
        <v>0</v>
      </c>
      <c r="DO99" s="62">
        <v>39400.194836376708</v>
      </c>
      <c r="DP99" s="62">
        <v>25715.898978776073</v>
      </c>
      <c r="DR99" s="62">
        <v>0</v>
      </c>
      <c r="DS99" s="62">
        <v>2060678.606796572</v>
      </c>
      <c r="DT99" s="62">
        <v>1516171.9533744489</v>
      </c>
      <c r="DV99" s="62">
        <v>0</v>
      </c>
      <c r="DW99" s="62">
        <v>2100078.8016329487</v>
      </c>
      <c r="DX99" s="62">
        <v>1541887.852353225</v>
      </c>
      <c r="DZ99" s="62">
        <v>-165930.20735628661</v>
      </c>
      <c r="EB99" s="62">
        <v>5062786.745484611</v>
      </c>
      <c r="EC99" s="62">
        <v>985</v>
      </c>
      <c r="ED99" s="62">
        <v>5139.8850207965597</v>
      </c>
      <c r="EE99" s="62">
        <v>5128966.5147727178</v>
      </c>
      <c r="EF99" s="62">
        <v>1001</v>
      </c>
      <c r="EG99" s="62">
        <v>5123.8426721006172</v>
      </c>
      <c r="EI99" s="62">
        <v>16.042348695942565</v>
      </c>
      <c r="EJ99" s="62">
        <v>-66179.769288106821</v>
      </c>
      <c r="EK99" s="62" t="s">
        <v>616</v>
      </c>
      <c r="EL99" s="789">
        <v>-1.290313927718038E-2</v>
      </c>
      <c r="EO99" s="62">
        <v>58608.551928360321</v>
      </c>
      <c r="ER99" s="62">
        <v>3583358.1020578132</v>
      </c>
      <c r="EU99" s="62">
        <v>-59.501067947573937</v>
      </c>
      <c r="EX99" s="62">
        <v>5069294.2835562509</v>
      </c>
      <c r="EY99" s="62">
        <v>5044012.9235562505</v>
      </c>
      <c r="FA99" s="62">
        <v>5102621.4754846105</v>
      </c>
    </row>
    <row r="100" spans="1:157" x14ac:dyDescent="0.2">
      <c r="A100" s="241" t="s">
        <v>625</v>
      </c>
      <c r="B100" s="793">
        <v>4607</v>
      </c>
      <c r="C100" s="241">
        <v>0</v>
      </c>
      <c r="D100" s="241">
        <v>718</v>
      </c>
      <c r="E100" s="241">
        <v>472</v>
      </c>
      <c r="F100" s="241">
        <v>1190</v>
      </c>
      <c r="G100" s="241">
        <v>0</v>
      </c>
      <c r="H100" s="241">
        <v>14</v>
      </c>
      <c r="I100" s="241">
        <v>3</v>
      </c>
      <c r="J100" s="241">
        <v>0</v>
      </c>
      <c r="K100" s="241">
        <v>704</v>
      </c>
      <c r="L100" s="241">
        <v>469</v>
      </c>
      <c r="M100" s="241">
        <v>1173</v>
      </c>
      <c r="N100" s="62">
        <v>4262071.2618740248</v>
      </c>
      <c r="O100" s="241"/>
      <c r="P100" s="241">
        <v>339.81810000000002</v>
      </c>
      <c r="Q100" s="241">
        <v>69.116161616161591</v>
      </c>
      <c r="R100" s="241">
        <v>124.40909090909084</v>
      </c>
      <c r="S100" s="241">
        <v>207.3484848484851</v>
      </c>
      <c r="T100" s="241">
        <v>162.9166666666668</v>
      </c>
      <c r="U100" s="241">
        <v>85.901515151515113</v>
      </c>
      <c r="V100" s="241">
        <v>105.64898989898994</v>
      </c>
      <c r="W100" s="241">
        <v>1095.1590090909094</v>
      </c>
      <c r="X100" s="241"/>
      <c r="Y100" s="241"/>
      <c r="Z100" s="241"/>
      <c r="AA100" s="241">
        <v>280214.00526000001</v>
      </c>
      <c r="AB100" s="794"/>
      <c r="AC100" s="794">
        <v>335971.4992676769</v>
      </c>
      <c r="AD100" s="795">
        <v>616185.50452767685</v>
      </c>
      <c r="AE100" s="241">
        <v>8.7392384105960268</v>
      </c>
      <c r="AF100" s="120">
        <v>14480.918046357616</v>
      </c>
      <c r="AG100" s="120">
        <v>161.47492625368756</v>
      </c>
      <c r="AH100" s="795">
        <v>301137.81946902699</v>
      </c>
      <c r="AI100" s="120">
        <v>0</v>
      </c>
      <c r="AJ100" s="120">
        <v>33.514285714285748</v>
      </c>
      <c r="AK100" s="120">
        <v>0</v>
      </c>
      <c r="AL100" s="120">
        <v>91785.574285714378</v>
      </c>
      <c r="AM100" s="795">
        <v>91785.574285714378</v>
      </c>
      <c r="AN100" s="120">
        <v>0</v>
      </c>
      <c r="AO100" s="120">
        <v>46.328571428571394</v>
      </c>
      <c r="AP100" s="795">
        <v>0</v>
      </c>
      <c r="AQ100" s="795">
        <v>83067.128571428504</v>
      </c>
      <c r="AR100" s="795">
        <v>83067.128571428504</v>
      </c>
      <c r="AS100" s="795">
        <v>100000</v>
      </c>
      <c r="AT100" s="120">
        <v>19329.921551105632</v>
      </c>
      <c r="AU100" s="120">
        <v>26875.679999999993</v>
      </c>
      <c r="AV100" s="120">
        <v>0</v>
      </c>
      <c r="AW100" s="120">
        <v>5514933.8083253345</v>
      </c>
      <c r="AY100" s="120">
        <v>32308.673044790514</v>
      </c>
      <c r="AZ100" s="120">
        <v>0</v>
      </c>
      <c r="BA100" s="120">
        <v>77544.343193070265</v>
      </c>
      <c r="BB100" s="120">
        <v>77544.34</v>
      </c>
      <c r="BC100" s="821">
        <v>5624786.824563195</v>
      </c>
      <c r="BD100" s="808">
        <v>0</v>
      </c>
      <c r="BF100" s="808">
        <v>704786.59116377262</v>
      </c>
      <c r="BG100" s="808">
        <v>42120.684745257327</v>
      </c>
      <c r="BI100" s="808">
        <v>5826</v>
      </c>
      <c r="BL100" s="808">
        <v>1359412.3333333335</v>
      </c>
      <c r="BO100" s="808">
        <v>7991</v>
      </c>
      <c r="BP100" s="808">
        <v>7744923.4338055588</v>
      </c>
      <c r="BQ100" s="808">
        <v>1173</v>
      </c>
      <c r="BR100" s="814">
        <v>1494</v>
      </c>
      <c r="BS100" s="824">
        <v>-321</v>
      </c>
      <c r="BT100" s="824">
        <v>7801168.5623418642</v>
      </c>
      <c r="BU100" s="824">
        <v>-64236.12853630539</v>
      </c>
      <c r="BV100" s="814">
        <v>1494</v>
      </c>
      <c r="BW100" s="814">
        <v>200.11254995733768</v>
      </c>
      <c r="BY100" s="62">
        <v>310845</v>
      </c>
      <c r="BZ100" s="62">
        <v>246474.20181107076</v>
      </c>
      <c r="CA100" s="62">
        <v>41303.508428571469</v>
      </c>
      <c r="CB100" s="62">
        <v>14480.918046357616</v>
      </c>
      <c r="CC100" s="62">
        <v>301137.81946902699</v>
      </c>
      <c r="CD100" s="62">
        <v>83067.128571428504</v>
      </c>
      <c r="CE100" s="62">
        <v>997308.57632645534</v>
      </c>
      <c r="CF100" s="62">
        <v>110.81206403627282</v>
      </c>
      <c r="CH100" s="62">
        <v>1556188.5102463108</v>
      </c>
      <c r="CI100" s="62">
        <v>172.9098344718123</v>
      </c>
      <c r="CJ100" s="62">
        <v>-62.097770435539488</v>
      </c>
      <c r="CK100" s="781" t="s">
        <v>614</v>
      </c>
      <c r="CL100" s="781" t="s">
        <v>616</v>
      </c>
      <c r="CM100" s="781"/>
      <c r="CN100" s="62">
        <v>5368728.2067742292</v>
      </c>
      <c r="CV100" s="62">
        <v>0</v>
      </c>
      <c r="CW100" s="62">
        <v>2434090.1664174274</v>
      </c>
      <c r="CX100" s="62">
        <v>1827981.0954565976</v>
      </c>
      <c r="DF100" s="62">
        <v>7421.0022727272708</v>
      </c>
      <c r="DG100" s="62">
        <v>26777.812727272714</v>
      </c>
      <c r="DH100" s="62">
        <v>66894.768181818261</v>
      </c>
      <c r="DI100" s="62">
        <v>70052.537500000064</v>
      </c>
      <c r="DJ100" s="62">
        <v>73916.535757575723</v>
      </c>
      <c r="DK100" s="62">
        <v>90908.842828282868</v>
      </c>
      <c r="DN100" s="62">
        <v>0</v>
      </c>
      <c r="DO100" s="62">
        <v>46539.827457733561</v>
      </c>
      <c r="DP100" s="62">
        <v>31004.515735336707</v>
      </c>
      <c r="DR100" s="62">
        <v>0</v>
      </c>
      <c r="DS100" s="62">
        <v>2434090.1664174274</v>
      </c>
      <c r="DT100" s="62">
        <v>1827981.0954565976</v>
      </c>
      <c r="DV100" s="62">
        <v>0</v>
      </c>
      <c r="DW100" s="62">
        <v>2480629.9938751608</v>
      </c>
      <c r="DX100" s="62">
        <v>1858985.6111919344</v>
      </c>
      <c r="DZ100" s="62">
        <v>32308.673044790514</v>
      </c>
      <c r="EB100" s="62">
        <v>5547242.4845631951</v>
      </c>
      <c r="EC100" s="62">
        <v>1173</v>
      </c>
      <c r="ED100" s="62">
        <v>4729.1069774622292</v>
      </c>
      <c r="EE100" s="62">
        <v>5740615.9163619252</v>
      </c>
      <c r="EF100" s="62">
        <v>1218</v>
      </c>
      <c r="EG100" s="62">
        <v>4713.1493566189865</v>
      </c>
      <c r="EI100" s="62">
        <v>15.957620843242694</v>
      </c>
      <c r="EJ100" s="62">
        <v>-193373.43179873005</v>
      </c>
      <c r="EK100" s="62" t="s">
        <v>616</v>
      </c>
      <c r="EL100" s="789">
        <v>-3.3685136684998618E-2</v>
      </c>
      <c r="EO100" s="62">
        <v>0</v>
      </c>
      <c r="EP100" s="701" t="s">
        <v>1022</v>
      </c>
      <c r="ER100" s="62">
        <v>4339615.6050670948</v>
      </c>
      <c r="EU100" s="62">
        <v>0</v>
      </c>
      <c r="EV100" s="701" t="s">
        <v>1022</v>
      </c>
      <c r="EX100" s="62">
        <v>5624786.824563195</v>
      </c>
      <c r="EY100" s="62">
        <v>5597911.1445631953</v>
      </c>
      <c r="FA100" s="62">
        <v>5597911.1445631953</v>
      </c>
    </row>
    <row r="101" spans="1:157" x14ac:dyDescent="0.2">
      <c r="A101" s="241" t="s">
        <v>78</v>
      </c>
      <c r="B101" s="793">
        <v>4158</v>
      </c>
      <c r="C101" s="241">
        <v>0</v>
      </c>
      <c r="D101" s="241">
        <v>475</v>
      </c>
      <c r="E101" s="241">
        <v>365</v>
      </c>
      <c r="F101" s="241">
        <v>840</v>
      </c>
      <c r="G101" s="241">
        <v>0</v>
      </c>
      <c r="H101" s="241">
        <v>0</v>
      </c>
      <c r="I101" s="241">
        <v>0</v>
      </c>
      <c r="J101" s="241">
        <v>0</v>
      </c>
      <c r="K101" s="241">
        <v>475</v>
      </c>
      <c r="L101" s="241">
        <v>365</v>
      </c>
      <c r="M101" s="241">
        <v>840</v>
      </c>
      <c r="N101" s="62">
        <v>3064948.570193381</v>
      </c>
      <c r="O101" s="241"/>
      <c r="P101" s="241">
        <v>370.69200000000001</v>
      </c>
      <c r="Q101" s="241">
        <v>71.254480286738357</v>
      </c>
      <c r="R101" s="241">
        <v>13.04659498207884</v>
      </c>
      <c r="S101" s="241">
        <v>232.83154121863774</v>
      </c>
      <c r="T101" s="241">
        <v>178.63799283154106</v>
      </c>
      <c r="U101" s="241">
        <v>34.121863799283119</v>
      </c>
      <c r="V101" s="241">
        <v>109.39068100358412</v>
      </c>
      <c r="W101" s="241">
        <v>1009.9751541218632</v>
      </c>
      <c r="X101" s="241"/>
      <c r="Y101" s="241"/>
      <c r="Z101" s="241"/>
      <c r="AA101" s="241">
        <v>305672.62320000003</v>
      </c>
      <c r="AB101" s="794"/>
      <c r="AC101" s="794">
        <v>285877.0795698922</v>
      </c>
      <c r="AD101" s="795">
        <v>591549.70276989229</v>
      </c>
      <c r="AE101" s="241">
        <v>6.5698324022346375</v>
      </c>
      <c r="AF101" s="120">
        <v>10886.212290502794</v>
      </c>
      <c r="AG101" s="120">
        <v>205.24886877828061</v>
      </c>
      <c r="AH101" s="795">
        <v>382772.72036199109</v>
      </c>
      <c r="AI101" s="120">
        <v>0</v>
      </c>
      <c r="AJ101" s="120">
        <v>66.000000000000028</v>
      </c>
      <c r="AK101" s="120">
        <v>0</v>
      </c>
      <c r="AL101" s="120">
        <v>180754.20000000007</v>
      </c>
      <c r="AM101" s="795">
        <v>180754.20000000007</v>
      </c>
      <c r="AN101" s="120">
        <v>0</v>
      </c>
      <c r="AO101" s="120">
        <v>66.000000000000028</v>
      </c>
      <c r="AP101" s="795">
        <v>0</v>
      </c>
      <c r="AQ101" s="795">
        <v>118338.00000000006</v>
      </c>
      <c r="AR101" s="795">
        <v>118338.00000000006</v>
      </c>
      <c r="AS101" s="795">
        <v>100000</v>
      </c>
      <c r="AT101" s="120">
        <v>0</v>
      </c>
      <c r="AU101" s="120">
        <v>17309.759999999995</v>
      </c>
      <c r="AV101" s="120">
        <v>0</v>
      </c>
      <c r="AW101" s="120">
        <v>4466559.1656157672</v>
      </c>
      <c r="AY101" s="120">
        <v>46704.739404797554</v>
      </c>
      <c r="AZ101" s="120">
        <v>0</v>
      </c>
      <c r="BA101" s="120">
        <v>55530.475943886631</v>
      </c>
      <c r="BB101" s="120">
        <v>55530.48</v>
      </c>
      <c r="BC101" s="821">
        <v>4568794.3809644515</v>
      </c>
      <c r="BD101" s="808">
        <v>-49980.897075962108</v>
      </c>
      <c r="BI101" s="808">
        <v>-1700</v>
      </c>
      <c r="BP101" s="808">
        <v>4517113.4838884892</v>
      </c>
      <c r="BQ101" s="808">
        <v>840</v>
      </c>
      <c r="BR101" s="814">
        <v>895</v>
      </c>
      <c r="BS101" s="824">
        <v>-55</v>
      </c>
      <c r="BT101" s="824">
        <v>4833923.8754071025</v>
      </c>
      <c r="BU101" s="824">
        <v>-316810.39151861332</v>
      </c>
      <c r="BV101" s="814">
        <v>895</v>
      </c>
      <c r="BW101" s="814">
        <v>5760.1889367020603</v>
      </c>
      <c r="BY101" s="62">
        <v>222600</v>
      </c>
      <c r="BZ101" s="62">
        <v>236619.88110795693</v>
      </c>
      <c r="CA101" s="62">
        <v>81339.390000000029</v>
      </c>
      <c r="CB101" s="62">
        <v>10886.212290502794</v>
      </c>
      <c r="CC101" s="62">
        <v>382772.72036199109</v>
      </c>
      <c r="CD101" s="62">
        <v>118338.00000000006</v>
      </c>
      <c r="CE101" s="62">
        <v>1052556.2037604509</v>
      </c>
      <c r="CF101" s="62">
        <v>116.95068930671677</v>
      </c>
      <c r="CH101" s="62">
        <v>964286.66595578985</v>
      </c>
      <c r="CI101" s="62">
        <v>107.14296288397665</v>
      </c>
      <c r="CJ101" s="62">
        <v>9.8077264227401173</v>
      </c>
      <c r="CK101" s="781" t="s">
        <v>615</v>
      </c>
      <c r="CL101" s="781"/>
      <c r="CM101" s="781"/>
      <c r="CN101" s="62">
        <v>4349249.4056157675</v>
      </c>
      <c r="CV101" s="62">
        <v>0</v>
      </c>
      <c r="CW101" s="62">
        <v>1642319.3594435765</v>
      </c>
      <c r="CX101" s="62">
        <v>1422629.2107498043</v>
      </c>
      <c r="DF101" s="62">
        <v>7650.5935483870981</v>
      </c>
      <c r="DG101" s="62">
        <v>2808.1491039426496</v>
      </c>
      <c r="DH101" s="62">
        <v>75116.111827956905</v>
      </c>
      <c r="DI101" s="62">
        <v>76812.550537634335</v>
      </c>
      <c r="DJ101" s="62">
        <v>29361.181362007141</v>
      </c>
      <c r="DK101" s="62">
        <v>94128.493189964065</v>
      </c>
      <c r="DN101" s="62">
        <v>0</v>
      </c>
      <c r="DO101" s="62">
        <v>31401.161992078753</v>
      </c>
      <c r="DP101" s="62">
        <v>24129.313951807882</v>
      </c>
      <c r="DR101" s="62">
        <v>0</v>
      </c>
      <c r="DS101" s="62">
        <v>1642319.3594435765</v>
      </c>
      <c r="DT101" s="62">
        <v>1422629.2107498043</v>
      </c>
      <c r="DV101" s="62">
        <v>0</v>
      </c>
      <c r="DW101" s="62">
        <v>1673720.5214356552</v>
      </c>
      <c r="DX101" s="62">
        <v>1446758.5247016121</v>
      </c>
      <c r="DZ101" s="62">
        <v>46704.739404797554</v>
      </c>
      <c r="EB101" s="62">
        <v>4513263.900964451</v>
      </c>
      <c r="EC101" s="62">
        <v>840</v>
      </c>
      <c r="ED101" s="62">
        <v>5372.9332154338699</v>
      </c>
      <c r="EE101" s="62">
        <v>4824698.3829927733</v>
      </c>
      <c r="EF101" s="62">
        <v>886</v>
      </c>
      <c r="EG101" s="62">
        <v>5445.4835022491798</v>
      </c>
      <c r="EI101" s="62">
        <v>-72.550286815309846</v>
      </c>
      <c r="EJ101" s="62">
        <v>-311434.48202832229</v>
      </c>
      <c r="EK101" s="62" t="s">
        <v>616</v>
      </c>
      <c r="EL101" s="789">
        <v>-6.4550041744814449E-2</v>
      </c>
      <c r="EM101" s="62" t="s">
        <v>996</v>
      </c>
      <c r="EO101" s="62">
        <v>49980.897075962108</v>
      </c>
      <c r="ER101" s="62">
        <v>3070498.149061305</v>
      </c>
      <c r="EU101" s="62">
        <v>-59.501067947573937</v>
      </c>
      <c r="EX101" s="62">
        <v>4518813.4838884892</v>
      </c>
      <c r="EY101" s="62">
        <v>4501503.7238884894</v>
      </c>
      <c r="FA101" s="62">
        <v>4551484.6209644517</v>
      </c>
    </row>
    <row r="102" spans="1:157" x14ac:dyDescent="0.2">
      <c r="A102" s="241" t="s">
        <v>79</v>
      </c>
      <c r="B102" s="793">
        <v>4177</v>
      </c>
      <c r="C102" s="241">
        <v>0</v>
      </c>
      <c r="D102" s="241">
        <v>318</v>
      </c>
      <c r="E102" s="241">
        <v>286</v>
      </c>
      <c r="F102" s="241">
        <v>604</v>
      </c>
      <c r="G102" s="241">
        <v>0</v>
      </c>
      <c r="H102" s="241">
        <v>20</v>
      </c>
      <c r="I102" s="241">
        <v>18</v>
      </c>
      <c r="J102" s="241">
        <v>0</v>
      </c>
      <c r="K102" s="241">
        <v>298</v>
      </c>
      <c r="L102" s="241">
        <v>268</v>
      </c>
      <c r="M102" s="241">
        <v>566</v>
      </c>
      <c r="N102" s="62">
        <v>2074899.9293734846</v>
      </c>
      <c r="O102" s="241"/>
      <c r="P102" s="241">
        <v>278.64179999999999</v>
      </c>
      <c r="Q102" s="241">
        <v>8.4758735440931954</v>
      </c>
      <c r="R102" s="241">
        <v>110.18635607321131</v>
      </c>
      <c r="S102" s="241">
        <v>161.98336106489188</v>
      </c>
      <c r="T102" s="241">
        <v>160.09983361064874</v>
      </c>
      <c r="U102" s="241">
        <v>53.68053244592344</v>
      </c>
      <c r="V102" s="241">
        <v>34.845257903494179</v>
      </c>
      <c r="W102" s="241">
        <v>807.91301464226262</v>
      </c>
      <c r="X102" s="241"/>
      <c r="Y102" s="241"/>
      <c r="Z102" s="241"/>
      <c r="AA102" s="241">
        <v>229768.02828</v>
      </c>
      <c r="AB102" s="794"/>
      <c r="AC102" s="794">
        <v>221901.63730449244</v>
      </c>
      <c r="AD102" s="795">
        <v>451669.66558449244</v>
      </c>
      <c r="AE102" s="241">
        <v>4.3808049535603715</v>
      </c>
      <c r="AF102" s="120">
        <v>7258.9938080495358</v>
      </c>
      <c r="AG102" s="120">
        <v>205.81818181818201</v>
      </c>
      <c r="AH102" s="795">
        <v>383834.44363636401</v>
      </c>
      <c r="AI102" s="120">
        <v>0</v>
      </c>
      <c r="AJ102" s="120">
        <v>78.71523178807935</v>
      </c>
      <c r="AK102" s="120">
        <v>0</v>
      </c>
      <c r="AL102" s="120">
        <v>215577.40529801289</v>
      </c>
      <c r="AM102" s="795">
        <v>215577.40529801289</v>
      </c>
      <c r="AN102" s="120">
        <v>0</v>
      </c>
      <c r="AO102" s="120">
        <v>71.218543046357382</v>
      </c>
      <c r="AP102" s="795">
        <v>0</v>
      </c>
      <c r="AQ102" s="795">
        <v>127694.84768211878</v>
      </c>
      <c r="AR102" s="795">
        <v>127694.84768211878</v>
      </c>
      <c r="AS102" s="795">
        <v>100000</v>
      </c>
      <c r="AT102" s="120">
        <v>0</v>
      </c>
      <c r="AU102" s="120">
        <v>18220.800000000003</v>
      </c>
      <c r="AV102" s="120">
        <v>0</v>
      </c>
      <c r="AW102" s="120">
        <v>3379156.0853825221</v>
      </c>
      <c r="AY102" s="120">
        <v>210362.07167331222</v>
      </c>
      <c r="AZ102" s="120">
        <v>0</v>
      </c>
      <c r="BA102" s="120">
        <v>37416.963552666472</v>
      </c>
      <c r="BB102" s="120">
        <v>37416.959999999999</v>
      </c>
      <c r="BC102" s="821">
        <v>3626935.1206085007</v>
      </c>
      <c r="BD102" s="808">
        <v>-33677.604458326845</v>
      </c>
      <c r="BF102" s="808">
        <v>620159.56739950529</v>
      </c>
      <c r="BI102" s="808">
        <v>-5826</v>
      </c>
      <c r="BL102" s="808">
        <v>234116</v>
      </c>
      <c r="BO102" s="808">
        <v>4038</v>
      </c>
      <c r="BP102" s="808">
        <v>4445745.0835496793</v>
      </c>
      <c r="BQ102" s="808">
        <v>566</v>
      </c>
      <c r="BR102" s="814">
        <v>685</v>
      </c>
      <c r="BS102" s="824">
        <v>-119</v>
      </c>
      <c r="BT102" s="824">
        <v>4639588.1218328197</v>
      </c>
      <c r="BU102" s="824">
        <v>-222745.37161647342</v>
      </c>
      <c r="BV102" s="814">
        <v>685</v>
      </c>
      <c r="BW102" s="814">
        <v>1871.8098455165834</v>
      </c>
      <c r="BY102" s="62">
        <v>149990</v>
      </c>
      <c r="BZ102" s="62">
        <v>180667.86623379699</v>
      </c>
      <c r="CA102" s="62">
        <v>97009.832384105801</v>
      </c>
      <c r="CB102" s="62">
        <v>7258.9938080495358</v>
      </c>
      <c r="CC102" s="62">
        <v>383834.44363636401</v>
      </c>
      <c r="CD102" s="62">
        <v>127694.84768211878</v>
      </c>
      <c r="CE102" s="62">
        <v>946455.98374443513</v>
      </c>
      <c r="CF102" s="62">
        <v>105.1617759716039</v>
      </c>
      <c r="CH102" s="62">
        <v>1382821.681641422</v>
      </c>
      <c r="CI102" s="62">
        <v>153.64685351571356</v>
      </c>
      <c r="CJ102" s="62">
        <v>-48.485077544109657</v>
      </c>
      <c r="CK102" s="781" t="s">
        <v>614</v>
      </c>
      <c r="CL102" s="781" t="s">
        <v>616</v>
      </c>
      <c r="CM102" s="781"/>
      <c r="CN102" s="62">
        <v>3260935.2853825223</v>
      </c>
      <c r="CV102" s="62">
        <v>0</v>
      </c>
      <c r="CW102" s="62">
        <v>1030339.303398286</v>
      </c>
      <c r="CX102" s="62">
        <v>1044560.6259751987</v>
      </c>
      <c r="DF102" s="62">
        <v>910.05454242928647</v>
      </c>
      <c r="DG102" s="62">
        <v>23716.511281198003</v>
      </c>
      <c r="DH102" s="62">
        <v>52259.071946755423</v>
      </c>
      <c r="DI102" s="62">
        <v>68841.327454242855</v>
      </c>
      <c r="DJ102" s="62">
        <v>46191.024559068203</v>
      </c>
      <c r="DK102" s="62">
        <v>29983.647520798673</v>
      </c>
      <c r="DN102" s="62">
        <v>0</v>
      </c>
      <c r="DO102" s="62">
        <v>19700.097418188354</v>
      </c>
      <c r="DP102" s="62">
        <v>17716.866134478118</v>
      </c>
      <c r="DR102" s="62">
        <v>0</v>
      </c>
      <c r="DS102" s="62">
        <v>1030339.303398286</v>
      </c>
      <c r="DT102" s="62">
        <v>1044560.6259751987</v>
      </c>
      <c r="DV102" s="62">
        <v>0</v>
      </c>
      <c r="DW102" s="62">
        <v>1050039.4008164743</v>
      </c>
      <c r="DX102" s="62">
        <v>1062277.4921096768</v>
      </c>
      <c r="DZ102" s="62">
        <v>210362.07167331222</v>
      </c>
      <c r="EB102" s="62">
        <v>3589518.1606085007</v>
      </c>
      <c r="EC102" s="62">
        <v>566</v>
      </c>
      <c r="ED102" s="62">
        <v>6341.9048774001776</v>
      </c>
      <c r="EE102" s="62">
        <v>3839874.9651242942</v>
      </c>
      <c r="EF102" s="62">
        <v>638</v>
      </c>
      <c r="EG102" s="62">
        <v>6018.6127980004612</v>
      </c>
      <c r="EI102" s="62">
        <v>323.29207939971639</v>
      </c>
      <c r="EJ102" s="62">
        <v>-250356.80451579345</v>
      </c>
      <c r="EK102" s="62" t="s">
        <v>616</v>
      </c>
      <c r="EL102" s="789">
        <v>-6.5199207471509313E-2</v>
      </c>
      <c r="EM102" s="62" t="s">
        <v>996</v>
      </c>
      <c r="EO102" s="62">
        <v>33677.604458326845</v>
      </c>
      <c r="ER102" s="62">
        <v>2078639.288467824</v>
      </c>
      <c r="EU102" s="62">
        <v>-59.501067947573937</v>
      </c>
      <c r="EX102" s="62">
        <v>3593257.5161501737</v>
      </c>
      <c r="EY102" s="62">
        <v>3575036.7161501739</v>
      </c>
      <c r="FA102" s="62">
        <v>3608714.3206085009</v>
      </c>
    </row>
    <row r="103" spans="1:157" x14ac:dyDescent="0.2">
      <c r="A103" s="241" t="s">
        <v>80</v>
      </c>
      <c r="B103" s="793">
        <v>5412</v>
      </c>
      <c r="C103" s="241">
        <v>0</v>
      </c>
      <c r="D103" s="241">
        <v>783</v>
      </c>
      <c r="E103" s="241">
        <v>506</v>
      </c>
      <c r="F103" s="241">
        <v>1289</v>
      </c>
      <c r="G103" s="241">
        <v>0</v>
      </c>
      <c r="H103" s="241">
        <v>0</v>
      </c>
      <c r="I103" s="241">
        <v>0</v>
      </c>
      <c r="J103" s="241">
        <v>0</v>
      </c>
      <c r="K103" s="241">
        <v>783</v>
      </c>
      <c r="L103" s="241">
        <v>506</v>
      </c>
      <c r="M103" s="241">
        <v>1289</v>
      </c>
      <c r="N103" s="62">
        <v>4679426.630920792</v>
      </c>
      <c r="O103" s="241"/>
      <c r="P103" s="241">
        <v>285.7713</v>
      </c>
      <c r="Q103" s="241">
        <v>204.00000000000054</v>
      </c>
      <c r="R103" s="241">
        <v>221.00000000000057</v>
      </c>
      <c r="S103" s="241">
        <v>106.99999999999999</v>
      </c>
      <c r="T103" s="241">
        <v>18.000000000000014</v>
      </c>
      <c r="U103" s="241">
        <v>27.000000000000021</v>
      </c>
      <c r="V103" s="241">
        <v>5.0000000000000027</v>
      </c>
      <c r="W103" s="241">
        <v>867.77130000000113</v>
      </c>
      <c r="X103" s="241"/>
      <c r="Y103" s="241"/>
      <c r="Z103" s="241"/>
      <c r="AA103" s="241">
        <v>235647.01398000002</v>
      </c>
      <c r="AB103" s="794"/>
      <c r="AC103" s="794">
        <v>139267.04000000018</v>
      </c>
      <c r="AD103" s="795">
        <v>374914.0539800002</v>
      </c>
      <c r="AE103" s="241">
        <v>6.0754124116260808</v>
      </c>
      <c r="AF103" s="120">
        <v>10066.958366064417</v>
      </c>
      <c r="AG103" s="120">
        <v>100.29074529074528</v>
      </c>
      <c r="AH103" s="795">
        <v>187034.2167076167</v>
      </c>
      <c r="AI103" s="120">
        <v>0</v>
      </c>
      <c r="AJ103" s="120">
        <v>9.020995334370145</v>
      </c>
      <c r="AK103" s="120">
        <v>0</v>
      </c>
      <c r="AL103" s="120">
        <v>24705.799922239516</v>
      </c>
      <c r="AM103" s="795">
        <v>24705.799922239516</v>
      </c>
      <c r="AN103" s="120">
        <v>0</v>
      </c>
      <c r="AO103" s="120">
        <v>24.99999999999995</v>
      </c>
      <c r="AP103" s="795">
        <v>0</v>
      </c>
      <c r="AQ103" s="795">
        <v>44824.999999999913</v>
      </c>
      <c r="AR103" s="795">
        <v>44824.999999999913</v>
      </c>
      <c r="AS103" s="795">
        <v>100000</v>
      </c>
      <c r="AT103" s="120">
        <v>0</v>
      </c>
      <c r="AU103" s="120">
        <v>19405.152000000002</v>
      </c>
      <c r="AV103" s="120">
        <v>0</v>
      </c>
      <c r="AW103" s="120">
        <v>5440377.8118967125</v>
      </c>
      <c r="AY103" s="120">
        <v>150890.72027811687</v>
      </c>
      <c r="AZ103" s="120">
        <v>0</v>
      </c>
      <c r="BA103" s="120">
        <v>85212.837490083184</v>
      </c>
      <c r="BB103" s="120">
        <v>85212.84</v>
      </c>
      <c r="BC103" s="821">
        <v>5676481.369664913</v>
      </c>
      <c r="BD103" s="808">
        <v>0</v>
      </c>
      <c r="BG103" s="808">
        <v>13109.607932241473</v>
      </c>
      <c r="BI103" s="808">
        <v>3824</v>
      </c>
      <c r="BP103" s="808">
        <v>5693414.9775971547</v>
      </c>
      <c r="BQ103" s="808">
        <v>1289</v>
      </c>
      <c r="BR103" s="814">
        <v>1273</v>
      </c>
      <c r="BS103" s="824">
        <v>16</v>
      </c>
      <c r="BT103" s="824">
        <v>5649085.7699090522</v>
      </c>
      <c r="BU103" s="824">
        <v>44329.207688102499</v>
      </c>
      <c r="BV103" s="814">
        <v>1273</v>
      </c>
      <c r="BW103" s="814">
        <v>2770.5754805064062</v>
      </c>
      <c r="BY103" s="62">
        <v>341585</v>
      </c>
      <c r="BZ103" s="62">
        <v>149965.6215920001</v>
      </c>
      <c r="CA103" s="62">
        <v>11117.609965007783</v>
      </c>
      <c r="CB103" s="62">
        <v>10066.958366064417</v>
      </c>
      <c r="CC103" s="62">
        <v>187034.2167076167</v>
      </c>
      <c r="CD103" s="62">
        <v>44824.999999999913</v>
      </c>
      <c r="CE103" s="62">
        <v>744594.40663068893</v>
      </c>
      <c r="CF103" s="62">
        <v>82.732711847854318</v>
      </c>
      <c r="CH103" s="62">
        <v>584210.32755201461</v>
      </c>
      <c r="CI103" s="62">
        <v>64.912258616890512</v>
      </c>
      <c r="CJ103" s="62">
        <v>17.820453230963807</v>
      </c>
      <c r="CK103" s="781" t="s">
        <v>615</v>
      </c>
      <c r="CL103" s="781"/>
      <c r="CM103" s="781"/>
      <c r="CN103" s="62">
        <v>5320972.6598967137</v>
      </c>
      <c r="CV103" s="62">
        <v>0</v>
      </c>
      <c r="CW103" s="62">
        <v>2707233.807251201</v>
      </c>
      <c r="CX103" s="62">
        <v>1972192.8236695915</v>
      </c>
      <c r="DF103" s="62">
        <v>21903.480000000058</v>
      </c>
      <c r="DG103" s="62">
        <v>47568.040000000125</v>
      </c>
      <c r="DH103" s="62">
        <v>34520.339999999997</v>
      </c>
      <c r="DI103" s="62">
        <v>7739.8200000000061</v>
      </c>
      <c r="DJ103" s="62">
        <v>23232.960000000017</v>
      </c>
      <c r="DK103" s="62">
        <v>4302.4000000000024</v>
      </c>
      <c r="DN103" s="62">
        <v>0</v>
      </c>
      <c r="DO103" s="62">
        <v>51762.336504837185</v>
      </c>
      <c r="DP103" s="62">
        <v>33450.500985245999</v>
      </c>
      <c r="DR103" s="62">
        <v>0</v>
      </c>
      <c r="DS103" s="62">
        <v>2707233.807251201</v>
      </c>
      <c r="DT103" s="62">
        <v>1972192.8236695915</v>
      </c>
      <c r="DV103" s="62">
        <v>0</v>
      </c>
      <c r="DW103" s="62">
        <v>2758996.143756038</v>
      </c>
      <c r="DX103" s="62">
        <v>2005643.3246548374</v>
      </c>
      <c r="DZ103" s="62">
        <v>150890.72027811687</v>
      </c>
      <c r="EB103" s="62">
        <v>5591268.5296649132</v>
      </c>
      <c r="EC103" s="62">
        <v>1289</v>
      </c>
      <c r="ED103" s="62">
        <v>4337.679231702803</v>
      </c>
      <c r="EE103" s="62">
        <v>5640224.5237018876</v>
      </c>
      <c r="EF103" s="62">
        <v>1281</v>
      </c>
      <c r="EG103" s="62">
        <v>4402.9855766603341</v>
      </c>
      <c r="EI103" s="62">
        <v>-65.30634495753111</v>
      </c>
      <c r="EJ103" s="62">
        <v>-48955.994036974385</v>
      </c>
      <c r="EK103" s="62" t="s">
        <v>616</v>
      </c>
      <c r="EL103" s="789">
        <v>-8.6797952512788906E-3</v>
      </c>
      <c r="EO103" s="62">
        <v>0</v>
      </c>
      <c r="EP103" s="701" t="s">
        <v>1022</v>
      </c>
      <c r="ER103" s="62">
        <v>4764639.4684108756</v>
      </c>
      <c r="EU103" s="62">
        <v>0</v>
      </c>
      <c r="EV103" s="701" t="s">
        <v>1022</v>
      </c>
      <c r="EX103" s="62">
        <v>5676481.369664913</v>
      </c>
      <c r="EY103" s="62">
        <v>5657076.2176649133</v>
      </c>
      <c r="FA103" s="62">
        <v>5657076.2176649133</v>
      </c>
    </row>
    <row r="104" spans="1:157" x14ac:dyDescent="0.2">
      <c r="A104" s="241" t="s">
        <v>624</v>
      </c>
      <c r="B104" s="793">
        <v>5414</v>
      </c>
      <c r="C104" s="241">
        <v>0</v>
      </c>
      <c r="D104" s="241">
        <v>623</v>
      </c>
      <c r="E104" s="241">
        <v>416</v>
      </c>
      <c r="F104" s="241">
        <v>1039</v>
      </c>
      <c r="G104" s="241">
        <v>0</v>
      </c>
      <c r="H104" s="241">
        <v>8</v>
      </c>
      <c r="I104" s="241">
        <v>4</v>
      </c>
      <c r="J104" s="241">
        <v>0</v>
      </c>
      <c r="K104" s="241">
        <v>615</v>
      </c>
      <c r="L104" s="241">
        <v>412</v>
      </c>
      <c r="M104" s="241">
        <v>1027</v>
      </c>
      <c r="N104" s="62">
        <v>3732188.4628973817</v>
      </c>
      <c r="O104" s="241"/>
      <c r="P104" s="241">
        <v>151.89330000000001</v>
      </c>
      <c r="Q104" s="241">
        <v>25.848983543078447</v>
      </c>
      <c r="R104" s="241">
        <v>78.541142303968996</v>
      </c>
      <c r="S104" s="241">
        <v>116.32042594385315</v>
      </c>
      <c r="T104" s="241">
        <v>26.843175217812213</v>
      </c>
      <c r="U104" s="241">
        <v>21.872216844143274</v>
      </c>
      <c r="V104" s="241">
        <v>9.9419167473378511</v>
      </c>
      <c r="W104" s="241">
        <v>431.26116060019393</v>
      </c>
      <c r="X104" s="241"/>
      <c r="Y104" s="241"/>
      <c r="Z104" s="241"/>
      <c r="AA104" s="241">
        <v>125251.21518000001</v>
      </c>
      <c r="AB104" s="794"/>
      <c r="AC104" s="794">
        <v>96125.619235237275</v>
      </c>
      <c r="AD104" s="795">
        <v>221376.8344152373</v>
      </c>
      <c r="AE104" s="241">
        <v>0.99902723735408561</v>
      </c>
      <c r="AF104" s="120">
        <v>1655.3881322957197</v>
      </c>
      <c r="AG104" s="120">
        <v>52.432852386237464</v>
      </c>
      <c r="AH104" s="795">
        <v>97783.075072141975</v>
      </c>
      <c r="AI104" s="120">
        <v>0</v>
      </c>
      <c r="AJ104" s="120">
        <v>11.895752895752914</v>
      </c>
      <c r="AK104" s="120">
        <v>0</v>
      </c>
      <c r="AL104" s="120">
        <v>32578.898455598501</v>
      </c>
      <c r="AM104" s="795">
        <v>32578.898455598501</v>
      </c>
      <c r="AN104" s="120">
        <v>0</v>
      </c>
      <c r="AO104" s="120">
        <v>37.561116458132851</v>
      </c>
      <c r="AP104" s="795">
        <v>0</v>
      </c>
      <c r="AQ104" s="795">
        <v>67347.081809432202</v>
      </c>
      <c r="AR104" s="795">
        <v>67347.081809432202</v>
      </c>
      <c r="AS104" s="795">
        <v>100000</v>
      </c>
      <c r="AT104" s="120">
        <v>0</v>
      </c>
      <c r="AU104" s="120">
        <v>22502.687999999995</v>
      </c>
      <c r="AV104" s="120">
        <v>0</v>
      </c>
      <c r="AW104" s="120">
        <v>4275432.4287820878</v>
      </c>
      <c r="AY104" s="120">
        <v>185603.53137165122</v>
      </c>
      <c r="AZ104" s="120">
        <v>0</v>
      </c>
      <c r="BA104" s="120">
        <v>67892.617612347109</v>
      </c>
      <c r="BB104" s="120">
        <v>67892.62</v>
      </c>
      <c r="BC104" s="821">
        <v>4528928.577766086</v>
      </c>
      <c r="BD104" s="808">
        <v>0</v>
      </c>
      <c r="BF104" s="808">
        <v>306999.301291315</v>
      </c>
      <c r="BG104" s="808">
        <v>17236.7067257249</v>
      </c>
      <c r="BI104" s="808">
        <v>10196</v>
      </c>
      <c r="BO104" s="808">
        <v>6982</v>
      </c>
      <c r="BP104" s="808">
        <v>4870342.5857831258</v>
      </c>
      <c r="BQ104" s="808">
        <v>1027</v>
      </c>
      <c r="BR104" s="814">
        <v>1206</v>
      </c>
      <c r="BS104" s="824">
        <v>-179</v>
      </c>
      <c r="BT104" s="824">
        <v>4744985.4150016261</v>
      </c>
      <c r="BU104" s="824">
        <v>118375.17078149971</v>
      </c>
      <c r="BV104" s="814">
        <v>1206</v>
      </c>
      <c r="BW104" s="814">
        <v>-661.31380324860174</v>
      </c>
      <c r="BY104" s="62">
        <v>272155</v>
      </c>
      <c r="BZ104" s="62">
        <v>88550.733766094927</v>
      </c>
      <c r="CA104" s="62">
        <v>14660.504305019325</v>
      </c>
      <c r="CB104" s="62">
        <v>1655.3881322957197</v>
      </c>
      <c r="CC104" s="62">
        <v>97783.075072141975</v>
      </c>
      <c r="CD104" s="62">
        <v>67347.081809432202</v>
      </c>
      <c r="CE104" s="62">
        <v>542151.78308498417</v>
      </c>
      <c r="CF104" s="62">
        <v>60.239087009442684</v>
      </c>
      <c r="CH104" s="62">
        <v>639574.71345336386</v>
      </c>
      <c r="CI104" s="62">
        <v>71.063857050373755</v>
      </c>
      <c r="CJ104" s="62">
        <v>-10.824770040931071</v>
      </c>
      <c r="CK104" s="781" t="s">
        <v>614</v>
      </c>
      <c r="CL104" s="781" t="s">
        <v>616</v>
      </c>
      <c r="CM104" s="781"/>
      <c r="CN104" s="62">
        <v>4152929.7407820872</v>
      </c>
      <c r="CV104" s="62">
        <v>0</v>
      </c>
      <c r="CW104" s="62">
        <v>2126371.3811743148</v>
      </c>
      <c r="CX104" s="62">
        <v>1605817.0817230667</v>
      </c>
      <c r="DF104" s="62">
        <v>2775.405363020333</v>
      </c>
      <c r="DG104" s="62">
        <v>16905.195469506289</v>
      </c>
      <c r="DH104" s="62">
        <v>37527.295818005907</v>
      </c>
      <c r="DI104" s="62">
        <v>11542.296911907073</v>
      </c>
      <c r="DJ104" s="62">
        <v>18820.605150048406</v>
      </c>
      <c r="DK104" s="62">
        <v>8554.8205227492745</v>
      </c>
      <c r="DN104" s="62">
        <v>0</v>
      </c>
      <c r="DO104" s="62">
        <v>40656.241316059859</v>
      </c>
      <c r="DP104" s="62">
        <v>27236.376296287253</v>
      </c>
      <c r="DR104" s="62">
        <v>0</v>
      </c>
      <c r="DS104" s="62">
        <v>2126371.3811743148</v>
      </c>
      <c r="DT104" s="62">
        <v>1605817.0817230667</v>
      </c>
      <c r="DV104" s="62">
        <v>0</v>
      </c>
      <c r="DW104" s="62">
        <v>2167027.6224903748</v>
      </c>
      <c r="DX104" s="62">
        <v>1633053.4580193539</v>
      </c>
      <c r="DZ104" s="62">
        <v>185603.53137165122</v>
      </c>
      <c r="EB104" s="62">
        <v>4461035.9577660859</v>
      </c>
      <c r="EC104" s="62">
        <v>1027</v>
      </c>
      <c r="ED104" s="62">
        <v>4343.7545839981358</v>
      </c>
      <c r="EE104" s="62">
        <v>4466086.6563419132</v>
      </c>
      <c r="EF104" s="62">
        <v>1026</v>
      </c>
      <c r="EG104" s="62">
        <v>4352.9109710934827</v>
      </c>
      <c r="EI104" s="62">
        <v>-9.1563870953468722</v>
      </c>
      <c r="EJ104" s="62">
        <v>-5050.6985758272931</v>
      </c>
      <c r="EK104" s="62" t="s">
        <v>616</v>
      </c>
      <c r="EL104" s="789">
        <v>-1.1309002633558894E-3</v>
      </c>
      <c r="EO104" s="62">
        <v>0</v>
      </c>
      <c r="EP104" s="701" t="s">
        <v>1022</v>
      </c>
      <c r="ER104" s="62">
        <v>3800081.0805097288</v>
      </c>
      <c r="EU104" s="62">
        <v>0</v>
      </c>
      <c r="EV104" s="701" t="s">
        <v>1022</v>
      </c>
      <c r="EX104" s="62">
        <v>4528928.577766086</v>
      </c>
      <c r="EY104" s="62">
        <v>4506425.8897660859</v>
      </c>
      <c r="FA104" s="62">
        <v>4506425.8897660859</v>
      </c>
    </row>
    <row r="105" spans="1:157" x14ac:dyDescent="0.2">
      <c r="A105" s="701" t="s">
        <v>335</v>
      </c>
      <c r="B105" s="793"/>
      <c r="C105" s="241"/>
      <c r="D105" s="241"/>
      <c r="E105" s="241"/>
      <c r="F105" s="241"/>
      <c r="G105" s="241"/>
      <c r="H105" s="241"/>
      <c r="I105" s="241"/>
      <c r="J105" s="241"/>
      <c r="K105" s="241"/>
      <c r="L105" s="241"/>
      <c r="M105" s="241"/>
      <c r="N105" s="62"/>
      <c r="O105" s="241"/>
      <c r="P105" s="241"/>
      <c r="Q105" s="241"/>
      <c r="R105" s="241"/>
      <c r="S105" s="241"/>
      <c r="T105" s="241"/>
      <c r="U105" s="241"/>
      <c r="V105" s="241"/>
      <c r="W105" s="241"/>
      <c r="X105" s="241"/>
      <c r="Y105" s="241"/>
      <c r="Z105" s="241"/>
      <c r="AA105" s="241"/>
      <c r="AB105" s="794"/>
      <c r="AC105" s="794"/>
      <c r="BB105" s="120">
        <v>0</v>
      </c>
      <c r="BG105" s="808">
        <v>82906.131645564135</v>
      </c>
      <c r="BI105" s="808">
        <v>19543</v>
      </c>
      <c r="BP105" s="808">
        <v>102449.13164556414</v>
      </c>
      <c r="BR105" s="814">
        <v>0</v>
      </c>
      <c r="BS105" s="814">
        <v>0</v>
      </c>
      <c r="BT105" s="814">
        <v>78778.843627328097</v>
      </c>
      <c r="BU105" s="814">
        <v>23670.288018236039</v>
      </c>
      <c r="BV105" s="814">
        <v>0</v>
      </c>
      <c r="BW105" s="814"/>
      <c r="CK105" s="781"/>
      <c r="CL105" s="781"/>
      <c r="CM105" s="781"/>
      <c r="DZ105" s="62">
        <v>0</v>
      </c>
      <c r="EK105" s="62" t="s">
        <v>681</v>
      </c>
      <c r="EL105" s="789"/>
    </row>
    <row r="106" spans="1:157" x14ac:dyDescent="0.2">
      <c r="A106" s="701" t="s">
        <v>1037</v>
      </c>
      <c r="B106" s="793"/>
      <c r="C106" s="241"/>
      <c r="D106" s="241"/>
      <c r="E106" s="241"/>
      <c r="F106" s="241"/>
      <c r="G106" s="241"/>
      <c r="H106" s="241"/>
      <c r="I106" s="241"/>
      <c r="J106" s="241"/>
      <c r="K106" s="241"/>
      <c r="L106" s="241"/>
      <c r="M106" s="241"/>
      <c r="N106" s="62"/>
      <c r="O106" s="241"/>
      <c r="P106" s="241"/>
      <c r="Q106" s="241"/>
      <c r="R106" s="241"/>
      <c r="S106" s="241"/>
      <c r="T106" s="241"/>
      <c r="U106" s="241"/>
      <c r="V106" s="241"/>
      <c r="W106" s="241"/>
      <c r="X106" s="241"/>
      <c r="Y106" s="241"/>
      <c r="Z106" s="241"/>
      <c r="AA106" s="241"/>
      <c r="AB106" s="794"/>
      <c r="AC106" s="794"/>
      <c r="BK106" s="808">
        <v>1533335</v>
      </c>
      <c r="BP106" s="808">
        <v>1533335</v>
      </c>
      <c r="BR106" s="814">
        <v>0</v>
      </c>
      <c r="BS106" s="814">
        <v>0</v>
      </c>
      <c r="BT106" s="814">
        <v>0</v>
      </c>
      <c r="BU106" s="814">
        <v>1533335</v>
      </c>
      <c r="BV106" s="814">
        <v>0</v>
      </c>
      <c r="CK106" s="781"/>
      <c r="CL106" s="781"/>
      <c r="CM106" s="781"/>
      <c r="EL106" s="789"/>
    </row>
    <row r="107" spans="1:157" x14ac:dyDescent="0.2">
      <c r="A107" s="701"/>
      <c r="B107" s="793"/>
      <c r="C107" s="241"/>
      <c r="D107" s="241"/>
      <c r="E107" s="241"/>
      <c r="F107" s="241"/>
      <c r="G107" s="241"/>
      <c r="H107" s="241"/>
      <c r="I107" s="241"/>
      <c r="J107" s="241"/>
      <c r="K107" s="241"/>
      <c r="L107" s="241"/>
      <c r="M107" s="241"/>
      <c r="N107" s="62"/>
      <c r="O107" s="241"/>
      <c r="P107" s="241"/>
      <c r="Q107" s="241"/>
      <c r="R107" s="241"/>
      <c r="S107" s="241"/>
      <c r="T107" s="241"/>
      <c r="U107" s="241"/>
      <c r="V107" s="241"/>
      <c r="W107" s="241"/>
      <c r="X107" s="241"/>
      <c r="Y107" s="241"/>
      <c r="Z107" s="241"/>
      <c r="AA107" s="241"/>
      <c r="AB107" s="794"/>
      <c r="AC107" s="794"/>
      <c r="CK107" s="781"/>
      <c r="CL107" s="781"/>
      <c r="CM107" s="781"/>
      <c r="EL107" s="789"/>
    </row>
    <row r="108" spans="1:157" x14ac:dyDescent="0.2">
      <c r="A108" s="241" t="s">
        <v>83</v>
      </c>
      <c r="B108" s="241" t="s">
        <v>83</v>
      </c>
      <c r="C108" s="241">
        <v>0</v>
      </c>
      <c r="D108" s="241">
        <v>7906</v>
      </c>
      <c r="E108" s="241">
        <v>5423</v>
      </c>
      <c r="F108" s="241">
        <v>13329</v>
      </c>
      <c r="G108" s="241">
        <v>0</v>
      </c>
      <c r="H108" s="241">
        <v>50</v>
      </c>
      <c r="I108" s="241">
        <v>29</v>
      </c>
      <c r="J108" s="241">
        <v>0</v>
      </c>
      <c r="K108" s="241">
        <v>7856</v>
      </c>
      <c r="L108" s="241">
        <v>5394</v>
      </c>
      <c r="M108" s="241">
        <v>13250</v>
      </c>
      <c r="N108" s="241">
        <v>48185964.852865182</v>
      </c>
      <c r="O108" s="62"/>
      <c r="P108" s="62">
        <v>3935.5929999999998</v>
      </c>
      <c r="Q108" s="62">
        <v>953.53859945821239</v>
      </c>
      <c r="R108" s="62">
        <v>1202.1027877407055</v>
      </c>
      <c r="S108" s="62">
        <v>2024.3906332489848</v>
      </c>
      <c r="T108" s="62">
        <v>1305.3317869320174</v>
      </c>
      <c r="U108" s="62">
        <v>884.44729242336632</v>
      </c>
      <c r="V108" s="62">
        <v>595.26582159322925</v>
      </c>
      <c r="W108" s="62">
        <v>10900.669921396515</v>
      </c>
      <c r="X108" s="62"/>
      <c r="Y108" s="62"/>
      <c r="Z108" s="62">
        <v>0</v>
      </c>
      <c r="AA108" s="62">
        <v>3245289.9878000002</v>
      </c>
      <c r="AB108" s="62">
        <v>0</v>
      </c>
      <c r="AC108" s="62">
        <v>2848774.1049678228</v>
      </c>
      <c r="AD108" s="62">
        <v>6094064.0927678235</v>
      </c>
      <c r="AE108" s="62">
        <v>68.417423010408356</v>
      </c>
      <c r="AF108" s="62">
        <v>113367.66992824666</v>
      </c>
      <c r="AG108" s="62">
        <v>1852.3235248522458</v>
      </c>
      <c r="AH108" s="62">
        <v>3454435.1879674499</v>
      </c>
      <c r="AI108" s="62">
        <v>0</v>
      </c>
      <c r="AJ108" s="62">
        <v>404.31348064737324</v>
      </c>
      <c r="AK108" s="62">
        <v>0</v>
      </c>
      <c r="AL108" s="62">
        <v>1107293.3294489612</v>
      </c>
      <c r="AM108" s="62">
        <v>1107293.3294489612</v>
      </c>
      <c r="AN108" s="62">
        <v>0</v>
      </c>
      <c r="AO108" s="62">
        <v>691.53417389534309</v>
      </c>
      <c r="AP108" s="62">
        <v>0</v>
      </c>
      <c r="AQ108" s="62">
        <v>1239920.7737943504</v>
      </c>
      <c r="AR108" s="62">
        <v>1239920.7737943504</v>
      </c>
      <c r="AS108" s="62">
        <v>1300000</v>
      </c>
      <c r="AT108" s="62">
        <v>19329.921551105632</v>
      </c>
      <c r="AU108" s="62">
        <v>403419.32799999998</v>
      </c>
      <c r="AV108" s="62">
        <v>696746.09279194195</v>
      </c>
      <c r="AW108" s="62">
        <v>62614541.249115057</v>
      </c>
      <c r="AX108" s="62">
        <v>0</v>
      </c>
      <c r="AY108" s="62">
        <v>1755031.1323015452</v>
      </c>
      <c r="AZ108" s="62">
        <v>-218751</v>
      </c>
      <c r="BA108" s="62">
        <v>875927.15030535473</v>
      </c>
      <c r="BB108" s="62">
        <v>875927.14999999979</v>
      </c>
      <c r="BC108" s="822">
        <v>65026749</v>
      </c>
      <c r="BD108" s="822">
        <v>-387173.44913486356</v>
      </c>
      <c r="BE108" s="822">
        <v>0</v>
      </c>
      <c r="BF108" s="822">
        <v>1779480.6579112764</v>
      </c>
      <c r="BG108" s="822">
        <v>349298.22023905616</v>
      </c>
      <c r="BH108" s="822">
        <v>0</v>
      </c>
      <c r="BI108" s="822">
        <v>103903</v>
      </c>
      <c r="BJ108" s="822">
        <v>0</v>
      </c>
      <c r="BK108" s="822">
        <v>1533335</v>
      </c>
      <c r="BL108" s="822">
        <v>4383005</v>
      </c>
      <c r="BM108" s="822">
        <v>0</v>
      </c>
      <c r="BN108" s="822">
        <v>224811</v>
      </c>
      <c r="BO108" s="822">
        <v>63248</v>
      </c>
      <c r="BP108" s="822">
        <v>73076656.159474149</v>
      </c>
      <c r="BQ108" s="822">
        <v>13250</v>
      </c>
      <c r="BR108" s="704">
        <v>15005</v>
      </c>
      <c r="BS108" s="704">
        <v>-1755</v>
      </c>
      <c r="BT108" s="704">
        <v>72060417.946853459</v>
      </c>
      <c r="BU108" s="704">
        <v>785418.38143862283</v>
      </c>
      <c r="BV108" s="704">
        <v>15005</v>
      </c>
      <c r="BW108" s="120">
        <v>27974.622717947797</v>
      </c>
      <c r="BX108" s="120">
        <v>0</v>
      </c>
      <c r="BY108" s="120">
        <v>3511250</v>
      </c>
      <c r="BZ108" s="120">
        <v>2437625.6371071292</v>
      </c>
      <c r="CA108" s="120">
        <v>498281.99825203256</v>
      </c>
      <c r="CB108" s="120">
        <v>113367.66992824666</v>
      </c>
      <c r="CC108" s="120">
        <v>3454435.1879674499</v>
      </c>
      <c r="CD108" s="120">
        <v>1239920.7737943504</v>
      </c>
      <c r="CE108" s="120">
        <v>11254881.26704921</v>
      </c>
      <c r="CF108" s="120">
        <v>1250.5423630054677</v>
      </c>
      <c r="CG108" s="120">
        <v>0</v>
      </c>
      <c r="CH108" s="120">
        <v>11579427.795355912</v>
      </c>
      <c r="CI108" s="120">
        <v>1286.6030883728793</v>
      </c>
      <c r="CJ108" s="120">
        <v>-36.060725367411429</v>
      </c>
      <c r="CK108" s="781"/>
      <c r="CL108" s="781"/>
      <c r="CM108" s="781"/>
      <c r="CN108" s="62">
        <v>60195045.906772017</v>
      </c>
      <c r="CV108" s="781">
        <v>0</v>
      </c>
      <c r="CW108" s="781">
        <v>27162233.447976287</v>
      </c>
      <c r="CX108" s="781">
        <v>21023731.404888887</v>
      </c>
      <c r="CY108" s="781">
        <v>0</v>
      </c>
      <c r="CZ108" s="781">
        <v>0</v>
      </c>
      <c r="DA108" s="781">
        <v>0</v>
      </c>
      <c r="DB108" s="781">
        <v>0</v>
      </c>
      <c r="DC108" s="781">
        <v>0</v>
      </c>
      <c r="DD108" s="781">
        <v>0</v>
      </c>
      <c r="DE108" s="781">
        <v>0</v>
      </c>
      <c r="DF108" s="781">
        <v>102381.43942382824</v>
      </c>
      <c r="DG108" s="781">
        <v>258740.60403330944</v>
      </c>
      <c r="DH108" s="781">
        <v>653108.90609878744</v>
      </c>
      <c r="DI108" s="781">
        <v>561279.61506289802</v>
      </c>
      <c r="DJ108" s="781">
        <v>761049.20618445845</v>
      </c>
      <c r="DK108" s="781">
        <v>512214.33416454191</v>
      </c>
      <c r="DL108" s="781">
        <v>0</v>
      </c>
      <c r="DM108" s="781">
        <v>0</v>
      </c>
      <c r="DN108" s="781">
        <v>0</v>
      </c>
      <c r="DO108" s="781">
        <v>519342.16549425403</v>
      </c>
      <c r="DP108" s="781">
        <v>356584.98481110053</v>
      </c>
      <c r="DQ108" s="781"/>
      <c r="DR108" s="781">
        <v>0</v>
      </c>
      <c r="DS108" s="781">
        <v>27162233.447976287</v>
      </c>
      <c r="DT108" s="781">
        <v>21023731.404888887</v>
      </c>
      <c r="DU108" s="781"/>
      <c r="DV108" s="781">
        <v>0</v>
      </c>
      <c r="DW108" s="781">
        <v>27681575.613470547</v>
      </c>
      <c r="DX108" s="781">
        <v>21380316.389699984</v>
      </c>
      <c r="DY108" s="781"/>
      <c r="DZ108" s="781">
        <v>1536280.1665228675</v>
      </c>
      <c r="EA108" s="781"/>
      <c r="EB108" s="781">
        <v>64150821.41594328</v>
      </c>
      <c r="EC108" s="781">
        <v>13250</v>
      </c>
      <c r="ED108" s="781">
        <v>64808.385300859984</v>
      </c>
      <c r="EE108" s="781">
        <v>65516138.342474654</v>
      </c>
      <c r="EF108" s="781">
        <v>13441</v>
      </c>
      <c r="EG108" s="781">
        <v>64890.482279154559</v>
      </c>
      <c r="EI108" s="781">
        <v>-82.09697829457582</v>
      </c>
      <c r="EJ108" s="781">
        <v>-1365316.9265313754</v>
      </c>
      <c r="EK108" s="62" t="s">
        <v>616</v>
      </c>
      <c r="EL108" s="781">
        <v>-0.29995798397780038</v>
      </c>
      <c r="EO108" s="781">
        <v>387173.44913486356</v>
      </c>
      <c r="ER108" s="781">
        <v>48674718.554035671</v>
      </c>
      <c r="ET108" s="781">
        <v>0</v>
      </c>
      <c r="EU108" s="781"/>
      <c r="EX108" s="781">
        <v>64639575.116808422</v>
      </c>
      <c r="EY108" s="781">
        <v>64236155.78880842</v>
      </c>
      <c r="FA108" s="781">
        <v>64623329.237943277</v>
      </c>
    </row>
    <row r="109" spans="1:157" x14ac:dyDescent="0.2">
      <c r="A109" s="241"/>
      <c r="B109" s="793"/>
      <c r="C109" s="241"/>
      <c r="D109" s="241"/>
      <c r="E109" s="241"/>
      <c r="F109" s="241"/>
      <c r="G109" s="241"/>
      <c r="H109" s="241"/>
      <c r="I109" s="241"/>
      <c r="J109" s="241"/>
      <c r="K109" s="241"/>
      <c r="L109" s="241"/>
      <c r="M109" s="241"/>
      <c r="N109" s="62"/>
      <c r="O109" s="62"/>
      <c r="P109" s="62"/>
      <c r="Q109" s="62"/>
      <c r="R109" s="62"/>
      <c r="S109" s="62"/>
      <c r="T109" s="62"/>
      <c r="U109" s="62"/>
      <c r="V109" s="62"/>
      <c r="W109" s="62"/>
      <c r="X109" s="62"/>
      <c r="Y109" s="62"/>
      <c r="Z109" s="241"/>
      <c r="AA109" s="241"/>
      <c r="AB109" s="794"/>
      <c r="AC109" s="794"/>
      <c r="BB109" s="120">
        <v>0</v>
      </c>
      <c r="BC109" s="809"/>
      <c r="BD109" s="809"/>
      <c r="BE109" s="809"/>
      <c r="BF109" s="809"/>
      <c r="BG109" s="809"/>
      <c r="BH109" s="809"/>
      <c r="BI109" s="809"/>
      <c r="BJ109" s="809"/>
      <c r="BK109" s="809"/>
      <c r="BL109" s="809"/>
      <c r="BM109" s="809"/>
      <c r="BN109" s="809"/>
      <c r="BO109" s="809"/>
      <c r="BP109" s="809"/>
      <c r="BQ109" s="809"/>
      <c r="BR109" s="120"/>
      <c r="BS109" s="120"/>
      <c r="BT109" s="120"/>
      <c r="BU109" s="120"/>
      <c r="BV109" s="120"/>
      <c r="BW109" s="120"/>
      <c r="BX109" s="120"/>
      <c r="BY109" s="120"/>
      <c r="BZ109" s="120"/>
      <c r="CA109" s="120"/>
      <c r="CB109" s="120"/>
      <c r="CC109" s="120"/>
      <c r="CD109" s="120"/>
      <c r="CF109" s="120"/>
      <c r="CG109" s="120"/>
      <c r="CH109" s="120"/>
      <c r="CI109" s="120"/>
      <c r="CJ109" s="120"/>
      <c r="CV109" s="781"/>
      <c r="CW109" s="781"/>
      <c r="CX109" s="781"/>
      <c r="CY109" s="781"/>
      <c r="CZ109" s="781"/>
      <c r="DA109" s="781"/>
      <c r="DB109" s="781"/>
      <c r="DC109" s="781"/>
      <c r="DD109" s="781"/>
      <c r="DE109" s="781"/>
      <c r="DF109" s="781"/>
      <c r="DG109" s="781"/>
      <c r="DH109" s="781"/>
      <c r="DI109" s="781"/>
      <c r="DJ109" s="781"/>
      <c r="DK109" s="781"/>
      <c r="EK109" s="62" t="s">
        <v>681</v>
      </c>
    </row>
    <row r="110" spans="1:157" s="781" customFormat="1" ht="13.5" thickBot="1" x14ac:dyDescent="0.25">
      <c r="A110" s="781" t="s">
        <v>143</v>
      </c>
      <c r="B110" s="781" t="s">
        <v>931</v>
      </c>
      <c r="C110" s="781">
        <v>20607</v>
      </c>
      <c r="D110" s="781">
        <v>7906</v>
      </c>
      <c r="E110" s="781">
        <v>5423</v>
      </c>
      <c r="F110" s="781">
        <v>33936</v>
      </c>
      <c r="G110" s="781">
        <v>107</v>
      </c>
      <c r="H110" s="781">
        <v>50</v>
      </c>
      <c r="I110" s="781">
        <v>29</v>
      </c>
      <c r="J110" s="781">
        <v>20500</v>
      </c>
      <c r="K110" s="781">
        <v>7856</v>
      </c>
      <c r="L110" s="781">
        <v>5394</v>
      </c>
      <c r="M110" s="781">
        <v>33750</v>
      </c>
      <c r="N110" s="62">
        <v>98341507.32424821</v>
      </c>
      <c r="O110" s="62"/>
      <c r="P110" s="62">
        <v>10182.385477876105</v>
      </c>
      <c r="Q110" s="62">
        <v>2308.3602281656717</v>
      </c>
      <c r="R110" s="62">
        <v>3150.7138299867124</v>
      </c>
      <c r="S110" s="62">
        <v>5520.5397849129913</v>
      </c>
      <c r="T110" s="62">
        <v>3912.3503716039113</v>
      </c>
      <c r="U110" s="62">
        <v>2666.2321081391915</v>
      </c>
      <c r="V110" s="62">
        <v>1752.4692572145564</v>
      </c>
      <c r="W110" s="62">
        <v>29493.051057899142</v>
      </c>
      <c r="X110" s="62">
        <v>0</v>
      </c>
      <c r="Y110" s="62">
        <v>0</v>
      </c>
      <c r="Z110" s="62">
        <v>6725858.9930044254</v>
      </c>
      <c r="AA110" s="62">
        <v>3245289.9878000002</v>
      </c>
      <c r="AB110" s="62">
        <v>6725682.6551918034</v>
      </c>
      <c r="AC110" s="62">
        <v>2848774.1049678228</v>
      </c>
      <c r="AD110" s="62">
        <v>19545605.740964055</v>
      </c>
      <c r="AE110" s="62">
        <v>122.3219073411409</v>
      </c>
      <c r="AF110" s="62">
        <v>202687.4004642705</v>
      </c>
      <c r="AG110" s="62">
        <v>1852.3235248522458</v>
      </c>
      <c r="AH110" s="62">
        <v>3454435.1879674499</v>
      </c>
      <c r="AI110" s="62">
        <v>2782.7144689568777</v>
      </c>
      <c r="AJ110" s="62">
        <v>404.31348064737324</v>
      </c>
      <c r="AK110" s="62">
        <v>2595382.1309067002</v>
      </c>
      <c r="AL110" s="62">
        <v>1107293.3294489612</v>
      </c>
      <c r="AM110" s="62">
        <v>3702675.4603556613</v>
      </c>
      <c r="AN110" s="62">
        <v>1506.7363058120816</v>
      </c>
      <c r="AO110" s="62">
        <v>691.53417389534309</v>
      </c>
      <c r="AP110" s="62">
        <v>1148133.0650288062</v>
      </c>
      <c r="AQ110" s="62">
        <v>1239920.7737943504</v>
      </c>
      <c r="AR110" s="62">
        <v>2388053.8388231564</v>
      </c>
      <c r="AS110" s="62">
        <v>8400000</v>
      </c>
      <c r="AT110" s="62">
        <v>19329.921551105632</v>
      </c>
      <c r="AU110" s="62">
        <v>1450572.771885714</v>
      </c>
      <c r="AV110" s="62">
        <v>972751.21663703443</v>
      </c>
      <c r="AW110" s="781">
        <v>138477618.86289665</v>
      </c>
      <c r="AX110" s="62"/>
      <c r="AY110" s="120">
        <v>4010442.8106298302</v>
      </c>
      <c r="AZ110" s="120">
        <v>-377864</v>
      </c>
      <c r="BA110" s="120">
        <v>2372702.1187023185</v>
      </c>
      <c r="BB110" s="120">
        <v>2372702.12</v>
      </c>
      <c r="BC110" s="823">
        <v>144482900</v>
      </c>
      <c r="BD110" s="823">
        <v>-1791221.3829043084</v>
      </c>
      <c r="BE110" s="823">
        <v>1338156.0000000005</v>
      </c>
      <c r="BF110" s="823">
        <v>4499939.2789242305</v>
      </c>
      <c r="BG110" s="823">
        <v>1116175.2353122123</v>
      </c>
      <c r="BH110" s="823">
        <v>54058.297518374005</v>
      </c>
      <c r="BI110" s="823">
        <v>626349</v>
      </c>
      <c r="BJ110" s="823">
        <v>9507</v>
      </c>
      <c r="BK110" s="823">
        <v>2374335</v>
      </c>
      <c r="BL110" s="823">
        <v>4383005</v>
      </c>
      <c r="BM110" s="823">
        <v>12651918.890297506</v>
      </c>
      <c r="BN110" s="823">
        <v>224811</v>
      </c>
      <c r="BO110" s="823">
        <v>63248</v>
      </c>
      <c r="BP110" s="823">
        <v>170033181.19524348</v>
      </c>
      <c r="BQ110" s="823">
        <v>33750</v>
      </c>
      <c r="BR110" s="703">
        <v>35030</v>
      </c>
      <c r="BS110" s="703">
        <v>-1280</v>
      </c>
      <c r="BT110" s="703">
        <v>160705238.8491005</v>
      </c>
      <c r="BU110" s="703">
        <v>7656672.5149609344</v>
      </c>
      <c r="BV110" s="703">
        <v>35030</v>
      </c>
      <c r="BW110" s="120">
        <v>27974.622717947797</v>
      </c>
      <c r="BX110" s="120">
        <v>0</v>
      </c>
      <c r="BY110" s="120">
        <v>8943750</v>
      </c>
      <c r="BZ110" s="120">
        <v>7818242.2963856207</v>
      </c>
      <c r="CA110" s="120">
        <v>1666203.957160048</v>
      </c>
      <c r="CB110" s="120">
        <v>202687.4004642705</v>
      </c>
      <c r="CC110" s="120">
        <v>3454435.1879674499</v>
      </c>
      <c r="CD110" s="120">
        <v>2388053.8388231564</v>
      </c>
      <c r="CE110" s="120">
        <v>24473372.68080055</v>
      </c>
      <c r="CF110" s="120">
        <v>2719.2636312000604</v>
      </c>
      <c r="CG110" s="120">
        <v>0</v>
      </c>
      <c r="CH110" s="120">
        <v>24378816.984540597</v>
      </c>
      <c r="CI110" s="120">
        <v>2708.7574427267332</v>
      </c>
      <c r="CJ110" s="120">
        <v>10.506188473328152</v>
      </c>
      <c r="CN110" s="62">
        <v>127634964.95282279</v>
      </c>
      <c r="CV110" s="781">
        <v>50155542.471383028</v>
      </c>
      <c r="CW110" s="781">
        <v>27162233.447976291</v>
      </c>
      <c r="CX110" s="781">
        <v>21023731.404888887</v>
      </c>
      <c r="CY110" s="781">
        <v>0</v>
      </c>
      <c r="CZ110" s="781">
        <v>0</v>
      </c>
      <c r="DA110" s="781">
        <v>0</v>
      </c>
      <c r="DB110" s="781">
        <v>0</v>
      </c>
      <c r="DC110" s="781">
        <v>0</v>
      </c>
      <c r="DD110" s="781">
        <v>0</v>
      </c>
      <c r="DE110" s="781">
        <v>0</v>
      </c>
      <c r="DF110" s="781">
        <v>0</v>
      </c>
      <c r="DG110" s="781">
        <v>0</v>
      </c>
      <c r="DH110" s="781">
        <v>0</v>
      </c>
      <c r="DI110" s="781">
        <v>0</v>
      </c>
      <c r="DJ110" s="781">
        <v>0</v>
      </c>
      <c r="DK110" s="781">
        <v>0</v>
      </c>
      <c r="DN110" s="781">
        <v>1496774.968396964</v>
      </c>
      <c r="DO110" s="781">
        <v>519342.16549425403</v>
      </c>
      <c r="DP110" s="781">
        <v>356584.98481110053</v>
      </c>
      <c r="DR110" s="781">
        <v>50155542.471383028</v>
      </c>
      <c r="DS110" s="781">
        <v>27162233.447976287</v>
      </c>
      <c r="DT110" s="781">
        <v>21023731.404888887</v>
      </c>
      <c r="DV110" s="781">
        <v>51652317.439780004</v>
      </c>
      <c r="DW110" s="781">
        <v>27681575.613470547</v>
      </c>
      <c r="DX110" s="781">
        <v>21380316.389699984</v>
      </c>
      <c r="DZ110" s="781">
        <v>3632578.729981116</v>
      </c>
      <c r="EB110" s="781">
        <v>142110197.59158006</v>
      </c>
      <c r="EC110" s="781">
        <v>33750</v>
      </c>
      <c r="ED110" s="781">
        <v>339522.08475769416</v>
      </c>
      <c r="EE110" s="781">
        <v>141314347.65016016</v>
      </c>
      <c r="EF110" s="781">
        <v>33330</v>
      </c>
      <c r="EG110" s="781">
        <v>340524.17574328231</v>
      </c>
      <c r="EI110" s="781">
        <v>-1002.0909855880668</v>
      </c>
      <c r="EJ110" s="781">
        <v>795849.941419899</v>
      </c>
      <c r="EK110" s="62" t="s">
        <v>681</v>
      </c>
      <c r="EL110" s="781">
        <v>1.6292909204059889</v>
      </c>
      <c r="EO110" s="781">
        <v>1791221.3829043084</v>
      </c>
      <c r="ER110" s="781">
        <v>98922988.060046226</v>
      </c>
      <c r="ET110" s="781">
        <v>-73.013413092534819</v>
      </c>
      <c r="EU110" s="781">
        <v>-59.501067947573937</v>
      </c>
      <c r="EX110" s="781">
        <v>142691678.32867578</v>
      </c>
      <c r="EY110" s="781">
        <v>141241105.55679005</v>
      </c>
      <c r="FA110" s="781">
        <v>143032326.9396944</v>
      </c>
    </row>
    <row r="111" spans="1:157" s="800" customFormat="1" ht="13.5" thickTop="1" x14ac:dyDescent="0.2">
      <c r="A111" s="798" t="s">
        <v>253</v>
      </c>
      <c r="B111" s="799"/>
      <c r="N111" s="121">
        <v>0</v>
      </c>
      <c r="O111" s="121"/>
      <c r="P111" s="121"/>
      <c r="Q111" s="121"/>
      <c r="R111" s="121"/>
      <c r="S111" s="121"/>
      <c r="T111" s="121"/>
      <c r="U111" s="121"/>
      <c r="V111" s="121"/>
      <c r="W111" s="121"/>
      <c r="X111" s="121">
        <v>0</v>
      </c>
      <c r="Y111" s="121"/>
      <c r="Z111" s="121">
        <v>0</v>
      </c>
      <c r="AA111" s="121"/>
      <c r="AB111" s="121">
        <v>0</v>
      </c>
      <c r="AC111" s="121"/>
      <c r="AD111" s="121">
        <v>0</v>
      </c>
      <c r="AE111" s="121"/>
      <c r="AF111" s="121">
        <v>0</v>
      </c>
      <c r="AG111" s="121"/>
      <c r="AH111" s="121">
        <v>0</v>
      </c>
      <c r="AI111" s="121"/>
      <c r="AJ111" s="121"/>
      <c r="AK111" s="121">
        <v>0</v>
      </c>
      <c r="AL111" s="121">
        <v>0</v>
      </c>
      <c r="AM111" s="121">
        <v>0</v>
      </c>
      <c r="AN111" s="121"/>
      <c r="AO111" s="121"/>
      <c r="AP111" s="121">
        <v>0</v>
      </c>
      <c r="AQ111" s="121">
        <v>0</v>
      </c>
      <c r="AR111" s="121"/>
      <c r="AS111" s="121">
        <v>0</v>
      </c>
      <c r="AT111" s="121">
        <v>0</v>
      </c>
      <c r="AU111" s="121">
        <v>0</v>
      </c>
      <c r="AV111" s="121">
        <v>0</v>
      </c>
      <c r="AW111" s="121">
        <v>0</v>
      </c>
      <c r="AX111" s="121"/>
      <c r="AY111" s="121"/>
      <c r="AZ111" s="121"/>
      <c r="BA111" s="121"/>
      <c r="BB111" s="121"/>
      <c r="BC111" s="810">
        <v>142110197.59158009</v>
      </c>
      <c r="BD111" s="810"/>
      <c r="BE111" s="810"/>
      <c r="BF111" s="810"/>
      <c r="BG111" s="810"/>
      <c r="BH111" s="810"/>
      <c r="BI111" s="810"/>
      <c r="BJ111" s="810"/>
      <c r="BK111" s="810"/>
      <c r="BL111" s="810"/>
      <c r="BM111" s="810"/>
      <c r="BN111" s="810"/>
      <c r="BO111" s="810"/>
      <c r="BP111" s="810"/>
      <c r="BQ111" s="810"/>
      <c r="CH111" s="800">
        <v>-72102.84362732619</v>
      </c>
      <c r="CI111" s="800" t="s">
        <v>613</v>
      </c>
      <c r="CN111" s="62"/>
      <c r="CV111" s="62"/>
      <c r="CW111" s="62"/>
      <c r="CX111" s="62"/>
      <c r="DE111" s="800" t="s">
        <v>292</v>
      </c>
      <c r="DK111" s="800" t="s">
        <v>146</v>
      </c>
    </row>
    <row r="112" spans="1:157" x14ac:dyDescent="0.2">
      <c r="BD112" s="808">
        <v>148470078.66200912</v>
      </c>
      <c r="CE112" s="781">
        <v>24450919.828167923</v>
      </c>
      <c r="CF112" s="781" t="s">
        <v>611</v>
      </c>
      <c r="DE112" s="62">
        <v>6725682.6551918034</v>
      </c>
      <c r="DK112" s="62">
        <v>2848774.1049678233</v>
      </c>
      <c r="DP112" s="62">
        <v>2372702.1187023185</v>
      </c>
      <c r="DT112" s="62">
        <v>98341507.324248195</v>
      </c>
      <c r="DX112" s="62">
        <v>100714209.44295053</v>
      </c>
      <c r="DZ112" s="62">
        <v>25012895.119681101</v>
      </c>
      <c r="EE112" s="62">
        <v>141314348</v>
      </c>
    </row>
    <row r="113" spans="1:135" x14ac:dyDescent="0.2">
      <c r="BD113" s="808">
        <v>5778400.3333333135</v>
      </c>
      <c r="BI113" s="808">
        <v>6306028.8117548171</v>
      </c>
      <c r="BY113" s="62">
        <v>817477.67181980237</v>
      </c>
      <c r="CC113" s="62">
        <v>8126272.3281801976</v>
      </c>
      <c r="CE113" s="62">
        <v>22452.852632626891</v>
      </c>
      <c r="CF113" s="62" t="s">
        <v>610</v>
      </c>
      <c r="EE113" s="62" t="s">
        <v>1005</v>
      </c>
    </row>
    <row r="114" spans="1:135" hidden="1" x14ac:dyDescent="0.2">
      <c r="A114" s="62">
        <v>71</v>
      </c>
      <c r="B114" s="782">
        <v>1</v>
      </c>
      <c r="C114" s="62">
        <v>2</v>
      </c>
      <c r="D114" s="62">
        <v>3</v>
      </c>
      <c r="E114" s="62">
        <v>4</v>
      </c>
      <c r="F114" s="62">
        <v>5</v>
      </c>
      <c r="G114" s="62">
        <v>6</v>
      </c>
      <c r="H114" s="62">
        <v>7</v>
      </c>
      <c r="I114" s="62">
        <v>8</v>
      </c>
      <c r="J114" s="62">
        <v>9</v>
      </c>
      <c r="K114" s="62">
        <v>10</v>
      </c>
      <c r="L114" s="62">
        <v>11</v>
      </c>
      <c r="M114" s="62">
        <v>12</v>
      </c>
      <c r="N114" s="62">
        <v>13</v>
      </c>
      <c r="O114" s="62">
        <v>14</v>
      </c>
      <c r="P114" s="62">
        <v>15</v>
      </c>
      <c r="Q114" s="62">
        <v>16</v>
      </c>
      <c r="R114" s="62">
        <v>17</v>
      </c>
      <c r="S114" s="62">
        <v>18</v>
      </c>
      <c r="T114" s="62">
        <v>19</v>
      </c>
      <c r="U114" s="62">
        <v>20</v>
      </c>
      <c r="V114" s="62">
        <v>21</v>
      </c>
      <c r="W114" s="62">
        <v>22</v>
      </c>
      <c r="X114" s="62">
        <v>23</v>
      </c>
      <c r="Y114" s="62">
        <v>24</v>
      </c>
      <c r="Z114" s="62">
        <v>25</v>
      </c>
      <c r="AA114" s="62">
        <v>26</v>
      </c>
      <c r="AB114" s="62">
        <v>27</v>
      </c>
      <c r="AC114" s="62">
        <v>28</v>
      </c>
      <c r="AD114" s="62">
        <v>29</v>
      </c>
      <c r="AE114" s="62">
        <v>30</v>
      </c>
      <c r="AF114" s="62">
        <v>31</v>
      </c>
      <c r="AG114" s="62">
        <v>32</v>
      </c>
      <c r="AH114" s="62">
        <v>33</v>
      </c>
      <c r="AI114" s="62">
        <v>34</v>
      </c>
      <c r="AJ114" s="62">
        <v>35</v>
      </c>
      <c r="AK114" s="62">
        <v>36</v>
      </c>
      <c r="AL114" s="62">
        <v>37</v>
      </c>
      <c r="AM114" s="62">
        <v>38</v>
      </c>
      <c r="AN114" s="62">
        <v>39</v>
      </c>
      <c r="AO114" s="62">
        <v>40</v>
      </c>
      <c r="AP114" s="62">
        <v>41</v>
      </c>
      <c r="AQ114" s="62">
        <v>42</v>
      </c>
      <c r="AR114" s="62">
        <v>43</v>
      </c>
      <c r="AS114" s="62">
        <v>44</v>
      </c>
      <c r="AT114" s="62">
        <v>45</v>
      </c>
      <c r="AU114" s="62">
        <v>46</v>
      </c>
      <c r="AV114" s="62">
        <v>47</v>
      </c>
      <c r="AW114" s="62">
        <v>48</v>
      </c>
      <c r="AX114" s="62">
        <v>49</v>
      </c>
      <c r="AY114" s="62">
        <v>50</v>
      </c>
      <c r="AZ114" s="62">
        <v>51</v>
      </c>
      <c r="BA114" s="62">
        <v>52</v>
      </c>
      <c r="BB114" s="62">
        <v>53</v>
      </c>
      <c r="BC114" s="808">
        <v>54</v>
      </c>
      <c r="BY114" s="62">
        <v>24.221560646512664</v>
      </c>
      <c r="CD114" s="62">
        <v>8148725.1808128245</v>
      </c>
      <c r="CE114" s="789">
        <v>9.1828253458018294E-4</v>
      </c>
    </row>
    <row r="115" spans="1:135" hidden="1" x14ac:dyDescent="0.2">
      <c r="A115" s="62">
        <v>13</v>
      </c>
      <c r="T115" s="120">
        <v>10900.669921396517</v>
      </c>
      <c r="Z115" s="120">
        <v>0</v>
      </c>
      <c r="AD115" s="120">
        <v>0</v>
      </c>
    </row>
    <row r="116" spans="1:135" hidden="1" x14ac:dyDescent="0.2">
      <c r="A116" s="62">
        <v>84</v>
      </c>
      <c r="H116" s="62">
        <v>33936</v>
      </c>
      <c r="T116" s="120">
        <v>0</v>
      </c>
    </row>
    <row r="117" spans="1:135" hidden="1" x14ac:dyDescent="0.2">
      <c r="H117" s="801">
        <v>192</v>
      </c>
      <c r="I117" s="802" t="s">
        <v>986</v>
      </c>
      <c r="J117" s="802"/>
      <c r="K117" s="802"/>
      <c r="L117" s="802"/>
      <c r="M117" s="803"/>
    </row>
    <row r="118" spans="1:135" hidden="1" x14ac:dyDescent="0.2">
      <c r="H118" s="62">
        <v>33748</v>
      </c>
      <c r="I118" s="62" t="s">
        <v>982</v>
      </c>
    </row>
    <row r="119" spans="1:135" hidden="1" x14ac:dyDescent="0.2"/>
    <row r="120" spans="1:135" hidden="1" x14ac:dyDescent="0.2">
      <c r="K120" s="62">
        <v>13250</v>
      </c>
      <c r="BA120" s="120">
        <v>581480.73579801014</v>
      </c>
    </row>
    <row r="121" spans="1:135" hidden="1" x14ac:dyDescent="0.2"/>
    <row r="122" spans="1:135" hidden="1" x14ac:dyDescent="0.2"/>
    <row r="123" spans="1:135" hidden="1" x14ac:dyDescent="0.2">
      <c r="A123" s="62" t="s">
        <v>961</v>
      </c>
      <c r="B123" s="782" t="s">
        <v>963</v>
      </c>
    </row>
    <row r="124" spans="1:135" hidden="1" x14ac:dyDescent="0.2">
      <c r="A124" s="62" t="s">
        <v>169</v>
      </c>
      <c r="B124" s="62">
        <v>5</v>
      </c>
      <c r="C124" s="62">
        <v>1270</v>
      </c>
      <c r="D124" s="62">
        <v>0</v>
      </c>
      <c r="E124" s="62">
        <v>0</v>
      </c>
      <c r="F124" s="62">
        <v>1270</v>
      </c>
      <c r="G124" s="62">
        <v>0</v>
      </c>
      <c r="H124" s="62">
        <v>0</v>
      </c>
      <c r="I124" s="62">
        <v>0</v>
      </c>
      <c r="J124" s="62">
        <v>1270</v>
      </c>
      <c r="K124" s="62">
        <v>0</v>
      </c>
      <c r="L124" s="62">
        <v>0</v>
      </c>
      <c r="M124" s="62">
        <v>1270</v>
      </c>
      <c r="N124" s="62">
        <v>3107197.0213978752</v>
      </c>
      <c r="O124" s="62">
        <v>0</v>
      </c>
      <c r="P124" s="62">
        <v>555.48180000000002</v>
      </c>
      <c r="Q124" s="62">
        <v>44.678354978354974</v>
      </c>
      <c r="R124" s="62">
        <v>60.660047472656125</v>
      </c>
      <c r="S124" s="62">
        <v>192.46513269339343</v>
      </c>
      <c r="T124" s="62">
        <v>398.72749712445346</v>
      </c>
      <c r="U124" s="62">
        <v>156.22359140054789</v>
      </c>
      <c r="V124" s="62">
        <v>130.9346167680952</v>
      </c>
      <c r="W124" s="62">
        <v>1539.171040437501</v>
      </c>
      <c r="X124" s="62">
        <v>0</v>
      </c>
      <c r="Y124" s="62">
        <v>0</v>
      </c>
      <c r="Z124" s="62">
        <v>598081.699242</v>
      </c>
      <c r="AA124" s="62">
        <v>0</v>
      </c>
      <c r="AB124" s="62">
        <v>627581.97310234013</v>
      </c>
      <c r="AC124" s="62">
        <v>0</v>
      </c>
      <c r="AD124" s="62">
        <v>1225663.6723443402</v>
      </c>
      <c r="AE124" s="62">
        <v>4.1967213114754101</v>
      </c>
      <c r="AF124" s="62">
        <v>6953.9672131147545</v>
      </c>
      <c r="AG124" s="62">
        <v>0</v>
      </c>
      <c r="AH124" s="62">
        <v>0</v>
      </c>
      <c r="AI124" s="62">
        <v>114.7116032733788</v>
      </c>
      <c r="AJ124" s="62">
        <v>0</v>
      </c>
      <c r="AK124" s="62">
        <v>106989.21814101492</v>
      </c>
      <c r="AL124" s="62">
        <v>0</v>
      </c>
      <c r="AM124" s="62">
        <v>106989.21814101492</v>
      </c>
      <c r="AN124" s="62">
        <v>48.999999999999957</v>
      </c>
      <c r="AO124" s="62">
        <v>0</v>
      </c>
      <c r="AP124" s="62">
        <v>37337.999999999971</v>
      </c>
      <c r="AQ124" s="62">
        <v>0</v>
      </c>
      <c r="AR124" s="62">
        <v>37337.999999999971</v>
      </c>
      <c r="AS124" s="62">
        <v>500000</v>
      </c>
      <c r="AT124" s="62">
        <v>0</v>
      </c>
      <c r="AU124" s="62">
        <v>14155.500319999997</v>
      </c>
      <c r="AV124" s="62">
        <v>0</v>
      </c>
      <c r="AW124" s="62">
        <v>4998297.3794163447</v>
      </c>
      <c r="AX124" s="62">
        <v>0</v>
      </c>
      <c r="AY124" s="62">
        <v>160488.25397491374</v>
      </c>
      <c r="AZ124" s="62">
        <v>0</v>
      </c>
      <c r="BA124" s="62">
        <v>92727.034627519228</v>
      </c>
      <c r="BB124" s="62">
        <v>92727.03</v>
      </c>
      <c r="BC124" s="808">
        <v>5251512.6680187779</v>
      </c>
      <c r="BW124" s="62">
        <v>11874.519850885034</v>
      </c>
      <c r="BX124" s="62">
        <v>0</v>
      </c>
      <c r="BY124" s="62">
        <v>336550</v>
      </c>
      <c r="BZ124" s="62">
        <v>490265.46893773612</v>
      </c>
      <c r="CA124" s="62">
        <v>48145.148163456717</v>
      </c>
      <c r="CB124" s="62">
        <v>6953.9672131147545</v>
      </c>
      <c r="CC124" s="62">
        <v>0</v>
      </c>
      <c r="CD124" s="62">
        <v>37337.999999999971</v>
      </c>
      <c r="CE124" s="62">
        <v>919252.58431430743</v>
      </c>
      <c r="CF124" s="62">
        <v>102.13917603492305</v>
      </c>
      <c r="CG124" s="62">
        <v>0</v>
      </c>
      <c r="CH124" s="62">
        <v>902785.77877387404</v>
      </c>
      <c r="CI124" s="62">
        <v>100.30953097487489</v>
      </c>
      <c r="CJ124" s="62">
        <v>1.829645060048156</v>
      </c>
      <c r="CK124" s="62">
        <v>0</v>
      </c>
      <c r="CL124" s="62" t="e">
        <v>#VALUE!</v>
      </c>
      <c r="CM124" s="62">
        <v>0</v>
      </c>
      <c r="CN124" s="62">
        <v>4484141.879096345</v>
      </c>
      <c r="CO124" s="62">
        <v>0</v>
      </c>
      <c r="CP124" s="62">
        <v>0</v>
      </c>
      <c r="CQ124" s="62">
        <v>0</v>
      </c>
      <c r="CR124" s="62">
        <v>0</v>
      </c>
      <c r="CS124" s="62">
        <v>0</v>
      </c>
      <c r="CT124" s="62">
        <v>0</v>
      </c>
      <c r="CU124" s="62">
        <v>0</v>
      </c>
      <c r="CV124" s="62">
        <v>3107197.0213978752</v>
      </c>
      <c r="CW124" s="62">
        <v>0</v>
      </c>
      <c r="CX124" s="62">
        <v>0</v>
      </c>
      <c r="CY124" s="62">
        <v>0</v>
      </c>
      <c r="CZ124" s="62">
        <v>6042.7475108225117</v>
      </c>
      <c r="DA124" s="62">
        <v>16409.149441828205</v>
      </c>
      <c r="DB124" s="62">
        <v>78194.734110671881</v>
      </c>
      <c r="DC124" s="62">
        <v>215922.90151780527</v>
      </c>
      <c r="DD124" s="62">
        <v>169201.08513819135</v>
      </c>
      <c r="DE124" s="62">
        <v>141811.35538302085</v>
      </c>
      <c r="DF124" s="62">
        <v>0</v>
      </c>
      <c r="DG124" s="62">
        <v>0</v>
      </c>
      <c r="DH124" s="62">
        <v>0</v>
      </c>
      <c r="DI124" s="62">
        <v>0</v>
      </c>
      <c r="DJ124" s="62">
        <v>0</v>
      </c>
      <c r="DK124" s="62">
        <v>0</v>
      </c>
      <c r="DL124" s="62">
        <v>0</v>
      </c>
      <c r="DM124" s="62">
        <v>0</v>
      </c>
      <c r="DN124" s="62">
        <v>92727.034627519228</v>
      </c>
      <c r="DO124" s="62">
        <v>0</v>
      </c>
      <c r="DP124" s="62">
        <v>0</v>
      </c>
      <c r="DQ124" s="62">
        <v>0</v>
      </c>
      <c r="DR124" s="62">
        <v>3107197.0213978752</v>
      </c>
      <c r="DS124" s="62">
        <v>0</v>
      </c>
      <c r="DT124" s="62">
        <v>0</v>
      </c>
      <c r="DU124" s="62">
        <v>0</v>
      </c>
      <c r="DV124" s="62">
        <v>3199924.0560253942</v>
      </c>
      <c r="DW124" s="62">
        <v>0</v>
      </c>
      <c r="DX124" s="62">
        <v>0</v>
      </c>
      <c r="DY124" s="62">
        <v>0</v>
      </c>
      <c r="DZ124" s="62">
        <v>160488.25397491374</v>
      </c>
    </row>
    <row r="125" spans="1:135" hidden="1" x14ac:dyDescent="0.2">
      <c r="A125" s="62" t="s">
        <v>221</v>
      </c>
      <c r="B125" s="62">
        <v>6</v>
      </c>
      <c r="C125" s="62">
        <v>0</v>
      </c>
      <c r="D125" s="62">
        <v>4059</v>
      </c>
      <c r="E125" s="62">
        <v>2725</v>
      </c>
      <c r="F125" s="62">
        <v>6784</v>
      </c>
      <c r="G125" s="62">
        <v>0</v>
      </c>
      <c r="H125" s="62">
        <v>30</v>
      </c>
      <c r="I125" s="62">
        <v>11</v>
      </c>
      <c r="J125" s="62">
        <v>0</v>
      </c>
      <c r="K125" s="62">
        <v>4029</v>
      </c>
      <c r="L125" s="62">
        <v>2714</v>
      </c>
      <c r="M125" s="62">
        <v>6743</v>
      </c>
      <c r="N125" s="62">
        <v>24508450.827659365</v>
      </c>
      <c r="O125" s="62">
        <v>0</v>
      </c>
      <c r="P125" s="62">
        <v>1679.8256999999999</v>
      </c>
      <c r="Q125" s="62">
        <v>471.26198980830634</v>
      </c>
      <c r="R125" s="62">
        <v>681.23941987731791</v>
      </c>
      <c r="S125" s="62">
        <v>716.72725643871593</v>
      </c>
      <c r="T125" s="62">
        <v>478.67118310460774</v>
      </c>
      <c r="U125" s="62">
        <v>354.17153608042656</v>
      </c>
      <c r="V125" s="62">
        <v>326.77409331943034</v>
      </c>
      <c r="W125" s="62">
        <v>4708.6711786288051</v>
      </c>
      <c r="X125" s="62">
        <v>0</v>
      </c>
      <c r="Y125" s="62">
        <v>0</v>
      </c>
      <c r="Z125" s="62">
        <v>0</v>
      </c>
      <c r="AA125" s="62">
        <v>1385184.2722200002</v>
      </c>
      <c r="AB125" s="62">
        <v>0</v>
      </c>
      <c r="AC125" s="62">
        <v>1220223.8372615094</v>
      </c>
      <c r="AD125" s="62">
        <v>2605408.1094815098</v>
      </c>
      <c r="AE125" s="62">
        <v>35.446652911344749</v>
      </c>
      <c r="AF125" s="62">
        <v>58735.10387409824</v>
      </c>
      <c r="AG125" s="62">
        <v>753.22742072139613</v>
      </c>
      <c r="AH125" s="62">
        <v>1404708.8814517462</v>
      </c>
      <c r="AI125" s="62">
        <v>0</v>
      </c>
      <c r="AJ125" s="62">
        <v>123.34731845299783</v>
      </c>
      <c r="AK125" s="62">
        <v>0</v>
      </c>
      <c r="AL125" s="62">
        <v>337811.30104722513</v>
      </c>
      <c r="AM125" s="62">
        <v>337811.30104722513</v>
      </c>
      <c r="AN125" s="62">
        <v>0</v>
      </c>
      <c r="AO125" s="62">
        <v>260.31563084898562</v>
      </c>
      <c r="AP125" s="62">
        <v>0</v>
      </c>
      <c r="AQ125" s="62">
        <v>466745.9261122311</v>
      </c>
      <c r="AR125" s="62">
        <v>466745.9261122311</v>
      </c>
      <c r="AS125" s="62">
        <v>600000</v>
      </c>
      <c r="AT125" s="62">
        <v>19329.921551105632</v>
      </c>
      <c r="AU125" s="62">
        <v>174874.12799999997</v>
      </c>
      <c r="AV125" s="62">
        <v>307207.079384004</v>
      </c>
      <c r="AW125" s="62">
        <v>30483271.278561279</v>
      </c>
      <c r="AX125" s="62">
        <v>0</v>
      </c>
      <c r="AY125" s="62">
        <v>662060.49346934818</v>
      </c>
      <c r="AZ125" s="62">
        <v>-52820.75842239098</v>
      </c>
      <c r="BA125" s="62">
        <v>445764.28486860427</v>
      </c>
      <c r="BB125" s="62">
        <v>445764.29</v>
      </c>
      <c r="BC125" s="808">
        <v>31538275.298476845</v>
      </c>
      <c r="BW125" s="62">
        <v>3566.7289971499686</v>
      </c>
      <c r="BX125" s="62">
        <v>0</v>
      </c>
      <c r="BY125" s="62">
        <v>1786895</v>
      </c>
      <c r="BZ125" s="62">
        <v>1042163.243792604</v>
      </c>
      <c r="CA125" s="62">
        <v>152015.08547125131</v>
      </c>
      <c r="CB125" s="62">
        <v>58735.10387409824</v>
      </c>
      <c r="CC125" s="62">
        <v>1404708.8814517462</v>
      </c>
      <c r="CD125" s="62">
        <v>466745.9261122311</v>
      </c>
      <c r="CE125" s="62">
        <v>4911263.2407019306</v>
      </c>
      <c r="CF125" s="62">
        <v>545.69591563354788</v>
      </c>
      <c r="CG125" s="62">
        <v>0</v>
      </c>
      <c r="CH125" s="62">
        <v>5267835.822489813</v>
      </c>
      <c r="CI125" s="62">
        <v>585.31509138775698</v>
      </c>
      <c r="CJ125" s="62">
        <v>-39.619175754209117</v>
      </c>
      <c r="CK125" s="62" t="e">
        <v>#VALUE!</v>
      </c>
      <c r="CL125" s="62" t="e">
        <v>#VALUE!</v>
      </c>
      <c r="CM125" s="62">
        <v>0</v>
      </c>
      <c r="CN125" s="62">
        <v>29381860.149626173</v>
      </c>
      <c r="CO125" s="62">
        <v>0</v>
      </c>
      <c r="CP125" s="62">
        <v>0</v>
      </c>
      <c r="CQ125" s="62">
        <v>0</v>
      </c>
      <c r="CR125" s="62">
        <v>0</v>
      </c>
      <c r="CS125" s="62">
        <v>0</v>
      </c>
      <c r="CT125" s="62">
        <v>0</v>
      </c>
      <c r="CU125" s="62">
        <v>0</v>
      </c>
      <c r="CV125" s="62">
        <v>0</v>
      </c>
      <c r="CW125" s="62">
        <v>13930325.682522463</v>
      </c>
      <c r="CX125" s="62">
        <v>10578125.1451369</v>
      </c>
      <c r="CY125" s="62">
        <v>0</v>
      </c>
      <c r="CZ125" s="62">
        <v>0</v>
      </c>
      <c r="DA125" s="62">
        <v>0</v>
      </c>
      <c r="DB125" s="62">
        <v>0</v>
      </c>
      <c r="DC125" s="62">
        <v>0</v>
      </c>
      <c r="DD125" s="62">
        <v>0</v>
      </c>
      <c r="DE125" s="62">
        <v>0</v>
      </c>
      <c r="DF125" s="62">
        <v>50599.399845717853</v>
      </c>
      <c r="DG125" s="62">
        <v>146629.97273439393</v>
      </c>
      <c r="DH125" s="62">
        <v>231230.54747225853</v>
      </c>
      <c r="DI125" s="62">
        <v>205823.82202315028</v>
      </c>
      <c r="DJ125" s="62">
        <v>304757.52336648549</v>
      </c>
      <c r="DK125" s="62">
        <v>281182.57181950344</v>
      </c>
      <c r="DL125" s="62">
        <v>0</v>
      </c>
      <c r="DM125" s="62">
        <v>0</v>
      </c>
      <c r="DN125" s="62">
        <v>0</v>
      </c>
      <c r="DO125" s="62">
        <v>266347.96140228485</v>
      </c>
      <c r="DP125" s="62">
        <v>179416.32346631945</v>
      </c>
      <c r="DQ125" s="62">
        <v>0</v>
      </c>
      <c r="DR125" s="62">
        <v>0</v>
      </c>
      <c r="DS125" s="62">
        <v>13930325.682522463</v>
      </c>
      <c r="DT125" s="62">
        <v>10578125.1451369</v>
      </c>
      <c r="DU125" s="62">
        <v>0</v>
      </c>
      <c r="DV125" s="62">
        <v>0</v>
      </c>
      <c r="DW125" s="62">
        <v>14196673.643924747</v>
      </c>
      <c r="DX125" s="62">
        <v>10757541.46860322</v>
      </c>
      <c r="DY125" s="62">
        <v>0</v>
      </c>
      <c r="DZ125" s="62">
        <v>609239.73504695715</v>
      </c>
    </row>
    <row r="126" spans="1:135" hidden="1" x14ac:dyDescent="0.2">
      <c r="B126" s="804">
        <v>11</v>
      </c>
      <c r="C126" s="804">
        <v>1270</v>
      </c>
      <c r="D126" s="804">
        <v>4059</v>
      </c>
      <c r="E126" s="804">
        <v>2725</v>
      </c>
      <c r="F126" s="804">
        <v>8054</v>
      </c>
      <c r="G126" s="804">
        <v>0</v>
      </c>
      <c r="H126" s="804">
        <v>30</v>
      </c>
      <c r="I126" s="804">
        <v>11</v>
      </c>
      <c r="J126" s="804">
        <v>1270</v>
      </c>
      <c r="K126" s="804">
        <v>4029</v>
      </c>
      <c r="L126" s="804">
        <v>2714</v>
      </c>
      <c r="M126" s="804">
        <v>8013</v>
      </c>
      <c r="N126" s="804">
        <v>27615647.849057239</v>
      </c>
      <c r="O126" s="804">
        <v>0</v>
      </c>
      <c r="P126" s="804">
        <v>2235.3074999999999</v>
      </c>
      <c r="Q126" s="804">
        <v>515.94034478666129</v>
      </c>
      <c r="R126" s="804">
        <v>741.89946734997409</v>
      </c>
      <c r="S126" s="804">
        <v>909.19238913210938</v>
      </c>
      <c r="T126" s="804">
        <v>877.39868022906126</v>
      </c>
      <c r="U126" s="804">
        <v>510.39512748097445</v>
      </c>
      <c r="V126" s="804">
        <v>457.70871008752556</v>
      </c>
      <c r="W126" s="804">
        <v>6247.8422190663059</v>
      </c>
      <c r="X126" s="804">
        <v>0</v>
      </c>
      <c r="Y126" s="804">
        <v>0</v>
      </c>
      <c r="Z126" s="804">
        <v>598081.699242</v>
      </c>
      <c r="AA126" s="804">
        <v>1385184.2722200002</v>
      </c>
      <c r="AB126" s="804">
        <v>627581.97310234013</v>
      </c>
      <c r="AC126" s="804">
        <v>1220223.8372615094</v>
      </c>
      <c r="AD126" s="804">
        <v>3831071.7818258498</v>
      </c>
      <c r="AE126" s="804">
        <v>39.643374222820157</v>
      </c>
      <c r="AF126" s="804">
        <v>65689.071087213</v>
      </c>
      <c r="AG126" s="804">
        <v>753.22742072139613</v>
      </c>
      <c r="AH126" s="804">
        <v>1404708.8814517462</v>
      </c>
      <c r="AI126" s="804">
        <v>114.7116032733788</v>
      </c>
      <c r="AJ126" s="804">
        <v>123.34731845299783</v>
      </c>
      <c r="AK126" s="804">
        <v>106989.21814101492</v>
      </c>
      <c r="AL126" s="804">
        <v>337811.30104722513</v>
      </c>
      <c r="AM126" s="804">
        <v>444800.51918824005</v>
      </c>
      <c r="AN126" s="804">
        <v>48.999999999999957</v>
      </c>
      <c r="AO126" s="804">
        <v>260.31563084898562</v>
      </c>
      <c r="AP126" s="804">
        <v>37337.999999999971</v>
      </c>
      <c r="AQ126" s="804">
        <v>466745.9261122311</v>
      </c>
      <c r="AR126" s="804">
        <v>504083.9261122311</v>
      </c>
      <c r="AS126" s="804">
        <v>1100000</v>
      </c>
      <c r="AT126" s="804">
        <v>19329.921551105632</v>
      </c>
      <c r="AU126" s="804">
        <v>189029.62831999996</v>
      </c>
      <c r="AV126" s="804">
        <v>307207.079384004</v>
      </c>
      <c r="AW126" s="804">
        <v>35481568.657977626</v>
      </c>
      <c r="AX126" s="804">
        <v>0</v>
      </c>
      <c r="AY126" s="804">
        <v>822548.74744426191</v>
      </c>
      <c r="AZ126" s="804">
        <v>-52820.75842239098</v>
      </c>
      <c r="BA126" s="804">
        <v>538491.31949612347</v>
      </c>
      <c r="BB126" s="804">
        <v>538491.31999999995</v>
      </c>
      <c r="BC126" s="811">
        <v>36789787.966495626</v>
      </c>
      <c r="BD126" s="811"/>
      <c r="BE126" s="811"/>
      <c r="BF126" s="811"/>
      <c r="BG126" s="811"/>
      <c r="BH126" s="811"/>
      <c r="BI126" s="811"/>
      <c r="BJ126" s="811"/>
      <c r="BK126" s="811"/>
      <c r="BL126" s="811"/>
      <c r="BM126" s="811"/>
      <c r="BN126" s="811"/>
      <c r="BO126" s="811"/>
      <c r="BP126" s="811"/>
      <c r="BQ126" s="811"/>
      <c r="BR126" s="804"/>
      <c r="BS126" s="804"/>
      <c r="BT126" s="804"/>
      <c r="BU126" s="804"/>
      <c r="BV126" s="804"/>
      <c r="BW126" s="804">
        <v>15441.248848035002</v>
      </c>
      <c r="BX126" s="804">
        <v>0</v>
      </c>
      <c r="BY126" s="804">
        <v>2123445</v>
      </c>
      <c r="BZ126" s="804">
        <v>1532428.7127303402</v>
      </c>
      <c r="CA126" s="804">
        <v>200160.23363470804</v>
      </c>
      <c r="CB126" s="804">
        <v>65689.071087213</v>
      </c>
      <c r="CC126" s="804">
        <v>1404708.8814517462</v>
      </c>
      <c r="CD126" s="804">
        <v>504083.9261122311</v>
      </c>
      <c r="CE126" s="804">
        <v>5830515.8250162378</v>
      </c>
      <c r="CF126" s="804">
        <v>647.83509166847091</v>
      </c>
      <c r="CG126" s="804">
        <v>0</v>
      </c>
      <c r="CH126" s="804">
        <v>6170621.601263687</v>
      </c>
      <c r="CI126" s="804">
        <v>685.62462236263184</v>
      </c>
      <c r="CJ126" s="804">
        <v>-37.789530694160959</v>
      </c>
      <c r="CK126" s="804" t="e">
        <v>#VALUE!</v>
      </c>
      <c r="CL126" s="804" t="e">
        <v>#VALUE!</v>
      </c>
      <c r="CM126" s="804">
        <v>0</v>
      </c>
      <c r="CN126" s="804">
        <v>33866002.028722517</v>
      </c>
      <c r="CO126" s="804">
        <v>0</v>
      </c>
      <c r="CP126" s="804">
        <v>0</v>
      </c>
      <c r="CQ126" s="804">
        <v>0</v>
      </c>
      <c r="CR126" s="804">
        <v>0</v>
      </c>
      <c r="CS126" s="804">
        <v>0</v>
      </c>
      <c r="CT126" s="804">
        <v>0</v>
      </c>
      <c r="CU126" s="804">
        <v>0</v>
      </c>
      <c r="CV126" s="804">
        <v>3107197.0213978752</v>
      </c>
      <c r="CW126" s="804">
        <v>13930325.682522463</v>
      </c>
      <c r="CX126" s="804">
        <v>10578125.1451369</v>
      </c>
      <c r="CY126" s="804">
        <v>0</v>
      </c>
      <c r="CZ126" s="804">
        <v>6042.7475108225117</v>
      </c>
      <c r="DA126" s="804">
        <v>16409.149441828205</v>
      </c>
      <c r="DB126" s="804">
        <v>78194.734110671881</v>
      </c>
      <c r="DC126" s="804">
        <v>215922.90151780527</v>
      </c>
      <c r="DD126" s="804">
        <v>169201.08513819135</v>
      </c>
      <c r="DE126" s="804">
        <v>141811.35538302085</v>
      </c>
      <c r="DF126" s="804">
        <v>50599.399845717853</v>
      </c>
      <c r="DG126" s="804">
        <v>146629.97273439393</v>
      </c>
      <c r="DH126" s="804">
        <v>231230.54747225853</v>
      </c>
      <c r="DI126" s="804">
        <v>205823.82202315028</v>
      </c>
      <c r="DJ126" s="804">
        <v>304757.52336648549</v>
      </c>
      <c r="DK126" s="804">
        <v>281182.57181950344</v>
      </c>
      <c r="DL126" s="804">
        <v>0</v>
      </c>
      <c r="DM126" s="804">
        <v>0</v>
      </c>
      <c r="DN126" s="804">
        <v>92727.034627519228</v>
      </c>
      <c r="DO126" s="804">
        <v>266347.96140228485</v>
      </c>
      <c r="DP126" s="804">
        <v>179416.32346631945</v>
      </c>
      <c r="DQ126" s="804">
        <v>0</v>
      </c>
      <c r="DR126" s="804">
        <v>3107197.0213978752</v>
      </c>
      <c r="DS126" s="804">
        <v>13930325.682522463</v>
      </c>
      <c r="DT126" s="804">
        <v>10578125.1451369</v>
      </c>
      <c r="DU126" s="804">
        <v>0</v>
      </c>
      <c r="DV126" s="804">
        <v>3199924.0560253942</v>
      </c>
      <c r="DW126" s="804">
        <v>14196673.643924747</v>
      </c>
      <c r="DX126" s="804">
        <v>10757541.46860322</v>
      </c>
      <c r="DY126" s="804">
        <v>0</v>
      </c>
      <c r="DZ126" s="804">
        <v>769727.98902187089</v>
      </c>
    </row>
    <row r="127" spans="1:135" hidden="1" x14ac:dyDescent="0.2">
      <c r="B127" s="62"/>
    </row>
    <row r="128" spans="1:135" hidden="1" x14ac:dyDescent="0.2">
      <c r="A128" s="62" t="s">
        <v>964</v>
      </c>
      <c r="B128" s="62">
        <v>73</v>
      </c>
      <c r="C128" s="62">
        <v>19337</v>
      </c>
      <c r="D128" s="62">
        <v>3847</v>
      </c>
      <c r="E128" s="62">
        <v>2698</v>
      </c>
      <c r="F128" s="62">
        <v>25882</v>
      </c>
      <c r="G128" s="62">
        <v>107</v>
      </c>
      <c r="H128" s="62">
        <v>20</v>
      </c>
      <c r="I128" s="62">
        <v>18</v>
      </c>
      <c r="J128" s="62">
        <v>19230</v>
      </c>
      <c r="K128" s="62">
        <v>3827</v>
      </c>
      <c r="L128" s="62">
        <v>2680</v>
      </c>
      <c r="M128" s="62">
        <v>25737</v>
      </c>
      <c r="N128" s="62">
        <v>70725859.475190967</v>
      </c>
      <c r="O128" s="62">
        <v>0</v>
      </c>
      <c r="P128" s="62">
        <v>7947.0779778761053</v>
      </c>
      <c r="Q128" s="62">
        <v>1792.4198833790106</v>
      </c>
      <c r="R128" s="62">
        <v>2408.8143626367382</v>
      </c>
      <c r="S128" s="62">
        <v>4611.3473957808819</v>
      </c>
      <c r="T128" s="62">
        <v>3034.9516913748503</v>
      </c>
      <c r="U128" s="62">
        <v>2155.8369806582168</v>
      </c>
      <c r="V128" s="62">
        <v>1294.7605471270308</v>
      </c>
      <c r="W128" s="62">
        <v>23245.208838832834</v>
      </c>
      <c r="X128" s="62">
        <v>0</v>
      </c>
      <c r="Y128" s="62">
        <v>0</v>
      </c>
      <c r="Z128" s="62">
        <v>6127777.293762425</v>
      </c>
      <c r="AA128" s="62">
        <v>1860105.7155800001</v>
      </c>
      <c r="AB128" s="62">
        <v>6098100.6820894629</v>
      </c>
      <c r="AC128" s="62">
        <v>1628550.2677063134</v>
      </c>
      <c r="AD128" s="62">
        <v>15714533.959138205</v>
      </c>
      <c r="AE128" s="62">
        <v>82.678533118320743</v>
      </c>
      <c r="AF128" s="62">
        <v>136998.3293770575</v>
      </c>
      <c r="AG128" s="62">
        <v>1099.0961041308497</v>
      </c>
      <c r="AH128" s="62">
        <v>2049726.3065157037</v>
      </c>
      <c r="AI128" s="62">
        <v>2668.0028656834988</v>
      </c>
      <c r="AJ128" s="62">
        <v>280.96616219437544</v>
      </c>
      <c r="AK128" s="62">
        <v>2488392.9127656855</v>
      </c>
      <c r="AL128" s="62">
        <v>769482.02840173605</v>
      </c>
      <c r="AM128" s="62">
        <v>3257874.9411674212</v>
      </c>
      <c r="AN128" s="62">
        <v>1457.7363058120816</v>
      </c>
      <c r="AO128" s="62">
        <v>431.21854304635747</v>
      </c>
      <c r="AP128" s="62">
        <v>1110795.0650288062</v>
      </c>
      <c r="AQ128" s="62">
        <v>773174.84768211935</v>
      </c>
      <c r="AR128" s="62">
        <v>1883969.9127109253</v>
      </c>
      <c r="AS128" s="62">
        <v>7300000</v>
      </c>
      <c r="AT128" s="62">
        <v>0</v>
      </c>
      <c r="AU128" s="62">
        <v>1261543.1435657141</v>
      </c>
      <c r="AV128" s="62">
        <v>665544.13725303044</v>
      </c>
      <c r="AW128" s="62">
        <v>102996050.20491903</v>
      </c>
      <c r="AX128" s="62">
        <v>0</v>
      </c>
      <c r="AY128" s="62">
        <v>3187894.0631855684</v>
      </c>
      <c r="AZ128" s="62">
        <v>-325043.32222632307</v>
      </c>
      <c r="BA128" s="62">
        <v>1834210.7992061949</v>
      </c>
      <c r="BB128" s="62">
        <v>1834210.8000000003</v>
      </c>
      <c r="BC128" s="808">
        <v>107693111.74508446</v>
      </c>
      <c r="BW128" s="62">
        <v>12533.373869912795</v>
      </c>
      <c r="BX128" s="62">
        <v>0</v>
      </c>
      <c r="BY128" s="62">
        <v>6820305</v>
      </c>
      <c r="BZ128" s="62">
        <v>6285813.583655281</v>
      </c>
      <c r="CA128" s="62">
        <v>1466043.72352534</v>
      </c>
      <c r="CB128" s="62">
        <v>136998.3293770575</v>
      </c>
      <c r="CC128" s="62">
        <v>2049726.3065157037</v>
      </c>
      <c r="CD128" s="62">
        <v>1883969.9127109253</v>
      </c>
      <c r="CE128" s="62">
        <v>18642856.855784312</v>
      </c>
      <c r="CF128" s="62">
        <v>2071.4285395315896</v>
      </c>
      <c r="CG128" s="62">
        <v>0</v>
      </c>
      <c r="CH128" s="62">
        <v>18208195.38327691</v>
      </c>
      <c r="CI128" s="62">
        <v>2023.1328203641015</v>
      </c>
      <c r="CJ128" s="62">
        <v>48.295719167489111</v>
      </c>
      <c r="CK128" s="62" t="e">
        <v>#VALUE!</v>
      </c>
      <c r="CL128" s="62" t="e">
        <v>#VALUE!</v>
      </c>
      <c r="CM128" s="62">
        <v>0</v>
      </c>
      <c r="CN128" s="62">
        <v>93768962.92410028</v>
      </c>
      <c r="CO128" s="62">
        <v>0</v>
      </c>
      <c r="CP128" s="62">
        <v>0</v>
      </c>
      <c r="CQ128" s="62">
        <v>0</v>
      </c>
      <c r="CR128" s="62">
        <v>0</v>
      </c>
      <c r="CS128" s="62">
        <v>0</v>
      </c>
      <c r="CT128" s="62">
        <v>0</v>
      </c>
      <c r="CU128" s="62">
        <v>0</v>
      </c>
      <c r="CV128" s="62">
        <v>47048345.449985154</v>
      </c>
      <c r="CW128" s="62">
        <v>13231907.765453828</v>
      </c>
      <c r="CX128" s="62">
        <v>10445606.259751987</v>
      </c>
      <c r="CY128" s="62">
        <v>0</v>
      </c>
      <c r="CZ128" s="62">
        <v>-6042.7475108225117</v>
      </c>
      <c r="DA128" s="62">
        <v>-16409.149441828205</v>
      </c>
      <c r="DB128" s="62">
        <v>-78194.734110671881</v>
      </c>
      <c r="DC128" s="62">
        <v>-215922.90151780527</v>
      </c>
      <c r="DD128" s="62">
        <v>-169201.08513819135</v>
      </c>
      <c r="DE128" s="62">
        <v>-141811.35538302085</v>
      </c>
      <c r="DF128" s="62">
        <v>-50599.399845717853</v>
      </c>
      <c r="DG128" s="62">
        <v>-146629.97273439393</v>
      </c>
      <c r="DH128" s="62">
        <v>-231230.54747225853</v>
      </c>
      <c r="DI128" s="62">
        <v>-205823.82202315028</v>
      </c>
      <c r="DJ128" s="62">
        <v>-304757.52336648549</v>
      </c>
      <c r="DK128" s="62">
        <v>-281182.57181950344</v>
      </c>
      <c r="DL128" s="62">
        <v>0</v>
      </c>
      <c r="DM128" s="62">
        <v>0</v>
      </c>
      <c r="DN128" s="62">
        <v>1404047.9337694447</v>
      </c>
      <c r="DO128" s="62">
        <v>252994.20409196918</v>
      </c>
      <c r="DP128" s="62">
        <v>177168.66134478108</v>
      </c>
      <c r="DQ128" s="62">
        <v>0</v>
      </c>
      <c r="DR128" s="62">
        <v>47048345.449985154</v>
      </c>
      <c r="DS128" s="62">
        <v>13231907.765453825</v>
      </c>
      <c r="DT128" s="62">
        <v>10445606.259751987</v>
      </c>
      <c r="DU128" s="62">
        <v>0</v>
      </c>
      <c r="DV128" s="62">
        <v>48452393.383754611</v>
      </c>
      <c r="DW128" s="62">
        <v>13484901.9695458</v>
      </c>
      <c r="DX128" s="62">
        <v>10622774.921096765</v>
      </c>
      <c r="DY128" s="62">
        <v>0</v>
      </c>
      <c r="DZ128" s="62">
        <v>2862850.7409592452</v>
      </c>
    </row>
    <row r="129" spans="1:142" hidden="1" x14ac:dyDescent="0.2">
      <c r="B129" s="62"/>
      <c r="L129" s="62">
        <v>6507</v>
      </c>
    </row>
    <row r="130" spans="1:142" hidden="1" x14ac:dyDescent="0.2">
      <c r="A130" s="62" t="s">
        <v>1008</v>
      </c>
      <c r="B130" s="62"/>
    </row>
    <row r="131" spans="1:142" hidden="1" x14ac:dyDescent="0.2">
      <c r="A131" s="62" t="s">
        <v>908</v>
      </c>
      <c r="B131" s="62">
        <v>66</v>
      </c>
      <c r="C131" s="62">
        <v>19337</v>
      </c>
      <c r="D131" s="62">
        <v>0</v>
      </c>
      <c r="E131" s="62">
        <v>0</v>
      </c>
      <c r="F131" s="62">
        <v>19337</v>
      </c>
      <c r="G131" s="62">
        <v>107</v>
      </c>
      <c r="H131" s="62">
        <v>0</v>
      </c>
      <c r="I131" s="62">
        <v>0</v>
      </c>
      <c r="J131" s="62">
        <v>19230</v>
      </c>
      <c r="K131" s="62">
        <v>0</v>
      </c>
      <c r="L131" s="62">
        <v>0</v>
      </c>
      <c r="M131" s="62">
        <v>19230</v>
      </c>
      <c r="N131" s="62">
        <v>47048345.449985154</v>
      </c>
      <c r="O131" s="62">
        <v>0</v>
      </c>
      <c r="P131" s="62">
        <v>5691.3106778761066</v>
      </c>
      <c r="Q131" s="62">
        <v>1310.1432737291043</v>
      </c>
      <c r="R131" s="62">
        <v>1887.9509947733509</v>
      </c>
      <c r="S131" s="62">
        <v>3303.6840189706127</v>
      </c>
      <c r="T131" s="62">
        <v>2208.2910875474408</v>
      </c>
      <c r="U131" s="62">
        <v>1625.5612243152773</v>
      </c>
      <c r="V131" s="62">
        <v>1026.268818853232</v>
      </c>
      <c r="W131" s="62">
        <v>17053.210096065126</v>
      </c>
      <c r="X131" s="62">
        <v>0</v>
      </c>
      <c r="Y131" s="62">
        <v>0</v>
      </c>
      <c r="Z131" s="62">
        <v>6127777.293762425</v>
      </c>
      <c r="AA131" s="62">
        <v>0</v>
      </c>
      <c r="AB131" s="62">
        <v>6098100.6820894629</v>
      </c>
      <c r="AC131" s="62">
        <v>0</v>
      </c>
      <c r="AD131" s="62">
        <v>12225877.975851892</v>
      </c>
      <c r="AE131" s="62">
        <v>49.707763019257143</v>
      </c>
      <c r="AF131" s="62">
        <v>82365.763322909101</v>
      </c>
      <c r="AG131" s="62">
        <v>0</v>
      </c>
      <c r="AH131" s="62">
        <v>0</v>
      </c>
      <c r="AI131" s="62">
        <v>2668.0028656834988</v>
      </c>
      <c r="AJ131" s="62">
        <v>0</v>
      </c>
      <c r="AK131" s="62">
        <v>2488392.9127656855</v>
      </c>
      <c r="AL131" s="62">
        <v>0</v>
      </c>
      <c r="AM131" s="62">
        <v>2488392.9127656855</v>
      </c>
      <c r="AN131" s="62">
        <v>1457.7363058120816</v>
      </c>
      <c r="AO131" s="62">
        <v>0</v>
      </c>
      <c r="AP131" s="62">
        <v>1110795.0650288062</v>
      </c>
      <c r="AQ131" s="62">
        <v>0</v>
      </c>
      <c r="AR131" s="62">
        <v>1110795.0650288062</v>
      </c>
      <c r="AS131" s="62">
        <v>6600000</v>
      </c>
      <c r="AT131" s="62">
        <v>0</v>
      </c>
      <c r="AU131" s="62">
        <v>1032997.9435657142</v>
      </c>
      <c r="AV131" s="62">
        <v>276005.12384509254</v>
      </c>
      <c r="AW131" s="62">
        <v>70864780.23436524</v>
      </c>
      <c r="AX131" s="62">
        <v>0</v>
      </c>
      <c r="AY131" s="62">
        <v>2094923.4243533714</v>
      </c>
      <c r="AZ131" s="62">
        <v>-159113.11487003643</v>
      </c>
      <c r="BA131" s="62">
        <v>1404047.9337694447</v>
      </c>
      <c r="BB131" s="62">
        <v>1404047.94</v>
      </c>
      <c r="BC131" s="808">
        <v>74204638.477618054</v>
      </c>
      <c r="BW131" s="62">
        <v>-11874.519850885034</v>
      </c>
      <c r="BX131" s="62">
        <v>0</v>
      </c>
      <c r="BY131" s="62">
        <v>5095950</v>
      </c>
      <c r="BZ131" s="62">
        <v>4890351.1903407555</v>
      </c>
      <c r="CA131" s="62">
        <v>1119776.8107445587</v>
      </c>
      <c r="CB131" s="62">
        <v>82365.763322909101</v>
      </c>
      <c r="CC131" s="62">
        <v>0</v>
      </c>
      <c r="CD131" s="62">
        <v>1110795.0650288062</v>
      </c>
      <c r="CE131" s="62">
        <v>12299238.829437032</v>
      </c>
      <c r="CF131" s="62">
        <v>1366.5820921596699</v>
      </c>
      <c r="CG131" s="62">
        <v>0</v>
      </c>
      <c r="CH131" s="62">
        <v>11896603.41041081</v>
      </c>
      <c r="CI131" s="62">
        <v>1321.8448233789791</v>
      </c>
      <c r="CJ131" s="62">
        <v>44.737268780691423</v>
      </c>
      <c r="CK131" s="62">
        <v>0</v>
      </c>
      <c r="CL131" s="62" t="e">
        <v>#VALUE!</v>
      </c>
      <c r="CM131" s="62">
        <v>0</v>
      </c>
      <c r="CN131" s="62">
        <v>62955777.166954443</v>
      </c>
      <c r="CO131" s="62">
        <v>0</v>
      </c>
      <c r="CP131" s="62">
        <v>0</v>
      </c>
      <c r="CQ131" s="62">
        <v>0</v>
      </c>
      <c r="CR131" s="62">
        <v>0</v>
      </c>
      <c r="CS131" s="62">
        <v>0</v>
      </c>
      <c r="CT131" s="62">
        <v>0</v>
      </c>
      <c r="CU131" s="62">
        <v>0</v>
      </c>
      <c r="CV131" s="62">
        <v>47048345.449985154</v>
      </c>
      <c r="CW131" s="62">
        <v>0</v>
      </c>
      <c r="CX131" s="62">
        <v>0</v>
      </c>
      <c r="CY131" s="62">
        <v>0</v>
      </c>
      <c r="CZ131" s="62">
        <v>177196.87777186133</v>
      </c>
      <c r="DA131" s="62">
        <v>510709.62359613931</v>
      </c>
      <c r="DB131" s="62">
        <v>1342220.7432273794</v>
      </c>
      <c r="DC131" s="62">
        <v>1195855.8726395653</v>
      </c>
      <c r="DD131" s="62">
        <v>1760596.5952191483</v>
      </c>
      <c r="DE131" s="62">
        <v>1111520.9696353697</v>
      </c>
      <c r="DF131" s="62">
        <v>0</v>
      </c>
      <c r="DG131" s="62">
        <v>0</v>
      </c>
      <c r="DH131" s="62">
        <v>0</v>
      </c>
      <c r="DI131" s="62">
        <v>0</v>
      </c>
      <c r="DJ131" s="62">
        <v>0</v>
      </c>
      <c r="DK131" s="62">
        <v>0</v>
      </c>
      <c r="DL131" s="62">
        <v>0</v>
      </c>
      <c r="DM131" s="62">
        <v>0</v>
      </c>
      <c r="DN131" s="62">
        <v>1404047.9337694447</v>
      </c>
      <c r="DO131" s="62">
        <v>0</v>
      </c>
      <c r="DP131" s="62">
        <v>0</v>
      </c>
      <c r="DQ131" s="62">
        <v>0</v>
      </c>
      <c r="DR131" s="62">
        <v>47048345.449985154</v>
      </c>
      <c r="DS131" s="62">
        <v>0</v>
      </c>
      <c r="DT131" s="62">
        <v>0</v>
      </c>
      <c r="DU131" s="62">
        <v>0</v>
      </c>
      <c r="DV131" s="62">
        <v>48452393.383754611</v>
      </c>
      <c r="DW131" s="62">
        <v>0</v>
      </c>
      <c r="DX131" s="62">
        <v>0</v>
      </c>
      <c r="DY131" s="62">
        <v>0</v>
      </c>
      <c r="DZ131" s="62">
        <v>1935810.3094833349</v>
      </c>
      <c r="EA131" s="62">
        <v>0</v>
      </c>
      <c r="EB131" s="62">
        <v>77959376.175636783</v>
      </c>
      <c r="EC131" s="62">
        <v>20500</v>
      </c>
      <c r="ED131" s="62">
        <v>274713.69945683418</v>
      </c>
      <c r="EE131" s="62">
        <v>75798209.307685509</v>
      </c>
      <c r="EF131" s="62">
        <v>19889</v>
      </c>
      <c r="EG131" s="62">
        <v>275633.69346412772</v>
      </c>
      <c r="EH131" s="62">
        <v>0</v>
      </c>
      <c r="EI131" s="62">
        <v>-919.99400729349099</v>
      </c>
      <c r="EJ131" s="62">
        <v>2161166.8679512744</v>
      </c>
      <c r="EL131" s="62">
        <v>1.9292489043837893</v>
      </c>
    </row>
    <row r="132" spans="1:142" hidden="1" x14ac:dyDescent="0.2">
      <c r="A132" s="62" t="s">
        <v>909</v>
      </c>
      <c r="B132" s="62">
        <v>7</v>
      </c>
      <c r="C132" s="62">
        <v>0</v>
      </c>
      <c r="D132" s="62">
        <v>3847</v>
      </c>
      <c r="E132" s="62">
        <v>2698</v>
      </c>
      <c r="F132" s="62">
        <v>6545</v>
      </c>
      <c r="G132" s="62">
        <v>0</v>
      </c>
      <c r="H132" s="62">
        <v>20</v>
      </c>
      <c r="I132" s="62">
        <v>18</v>
      </c>
      <c r="J132" s="62">
        <v>0</v>
      </c>
      <c r="K132" s="62">
        <v>3827</v>
      </c>
      <c r="L132" s="62">
        <v>2680</v>
      </c>
      <c r="M132" s="62">
        <v>6507</v>
      </c>
      <c r="N132" s="62">
        <v>23677514.025205817</v>
      </c>
      <c r="O132" s="62">
        <v>0</v>
      </c>
      <c r="P132" s="62">
        <v>2255.7673</v>
      </c>
      <c r="Q132" s="62">
        <v>482.27660964990605</v>
      </c>
      <c r="R132" s="62">
        <v>520.86336786338757</v>
      </c>
      <c r="S132" s="62">
        <v>1307.6633768102688</v>
      </c>
      <c r="T132" s="62">
        <v>826.66060382740966</v>
      </c>
      <c r="U132" s="62">
        <v>530.27575634293976</v>
      </c>
      <c r="V132" s="62">
        <v>268.49172827379891</v>
      </c>
      <c r="W132" s="62">
        <v>6191.9987427677097</v>
      </c>
      <c r="X132" s="62">
        <v>0</v>
      </c>
      <c r="Y132" s="62">
        <v>0</v>
      </c>
      <c r="Z132" s="62">
        <v>0</v>
      </c>
      <c r="AA132" s="62">
        <v>1860105.7155800001</v>
      </c>
      <c r="AB132" s="62">
        <v>0</v>
      </c>
      <c r="AC132" s="62">
        <v>1628550.2677063134</v>
      </c>
      <c r="AD132" s="62">
        <v>3488655.9832863137</v>
      </c>
      <c r="AE132" s="62">
        <v>32.970770099063607</v>
      </c>
      <c r="AF132" s="62">
        <v>54632.566054148418</v>
      </c>
      <c r="AG132" s="62">
        <v>1099.0961041308497</v>
      </c>
      <c r="AH132" s="62">
        <v>2049726.3065157037</v>
      </c>
      <c r="AI132" s="62">
        <v>0</v>
      </c>
      <c r="AJ132" s="62">
        <v>280.96616219437544</v>
      </c>
      <c r="AK132" s="62">
        <v>0</v>
      </c>
      <c r="AL132" s="62">
        <v>769482.02840173605</v>
      </c>
      <c r="AM132" s="62">
        <v>769482.02840173605</v>
      </c>
      <c r="AN132" s="62">
        <v>0</v>
      </c>
      <c r="AO132" s="62">
        <v>431.21854304635747</v>
      </c>
      <c r="AP132" s="62">
        <v>0</v>
      </c>
      <c r="AQ132" s="62">
        <v>773174.84768211935</v>
      </c>
      <c r="AR132" s="62">
        <v>773174.84768211935</v>
      </c>
      <c r="AS132" s="62">
        <v>700000</v>
      </c>
      <c r="AT132" s="62">
        <v>0</v>
      </c>
      <c r="AU132" s="62">
        <v>228545.2</v>
      </c>
      <c r="AV132" s="62">
        <v>389539.01340793795</v>
      </c>
      <c r="AW132" s="62">
        <v>32131269.970553778</v>
      </c>
      <c r="AX132" s="62">
        <v>0</v>
      </c>
      <c r="AY132" s="62">
        <v>1092970.6388321971</v>
      </c>
      <c r="AZ132" s="62">
        <v>-165930.20735628664</v>
      </c>
      <c r="BA132" s="62">
        <v>430162.86543675046</v>
      </c>
      <c r="BB132" s="62">
        <v>430162.85999999981</v>
      </c>
      <c r="BC132" s="808">
        <v>33488473.267466426</v>
      </c>
      <c r="BW132" s="62">
        <v>24407.893720797831</v>
      </c>
      <c r="BX132" s="62">
        <v>0</v>
      </c>
      <c r="BY132" s="62">
        <v>1724355</v>
      </c>
      <c r="BZ132" s="62">
        <v>1395462.3933145253</v>
      </c>
      <c r="CA132" s="62">
        <v>346266.91278078128</v>
      </c>
      <c r="CB132" s="62">
        <v>54632.566054148418</v>
      </c>
      <c r="CC132" s="62">
        <v>2049726.3065157037</v>
      </c>
      <c r="CD132" s="62">
        <v>773174.84768211935</v>
      </c>
      <c r="CE132" s="62">
        <v>6343618.0263472795</v>
      </c>
      <c r="CF132" s="62">
        <v>704.84644737191979</v>
      </c>
      <c r="CG132" s="62">
        <v>0</v>
      </c>
      <c r="CH132" s="62">
        <v>6311591.9728660993</v>
      </c>
      <c r="CI132" s="62">
        <v>701.28799698512228</v>
      </c>
      <c r="CJ132" s="62">
        <v>3.5584503867976878</v>
      </c>
      <c r="CK132" s="62" t="e">
        <v>#VALUE!</v>
      </c>
      <c r="CL132" s="62" t="e">
        <v>#VALUE!</v>
      </c>
      <c r="CM132" s="62">
        <v>0</v>
      </c>
      <c r="CN132" s="62">
        <v>30813185.757145844</v>
      </c>
      <c r="CO132" s="62">
        <v>0</v>
      </c>
      <c r="CP132" s="62">
        <v>0</v>
      </c>
      <c r="CQ132" s="62">
        <v>0</v>
      </c>
      <c r="CR132" s="62">
        <v>0</v>
      </c>
      <c r="CS132" s="62">
        <v>0</v>
      </c>
      <c r="CT132" s="62">
        <v>0</v>
      </c>
      <c r="CU132" s="62">
        <v>0</v>
      </c>
      <c r="CV132" s="62">
        <v>0</v>
      </c>
      <c r="CW132" s="62">
        <v>13231907.765453825</v>
      </c>
      <c r="CX132" s="62">
        <v>10445606.259751987</v>
      </c>
      <c r="CY132" s="62">
        <v>0</v>
      </c>
      <c r="CZ132" s="62">
        <v>0</v>
      </c>
      <c r="DA132" s="62">
        <v>0</v>
      </c>
      <c r="DB132" s="62">
        <v>0</v>
      </c>
      <c r="DC132" s="62">
        <v>0</v>
      </c>
      <c r="DD132" s="62">
        <v>0</v>
      </c>
      <c r="DE132" s="62">
        <v>0</v>
      </c>
      <c r="DF132" s="62">
        <v>51782.039578110387</v>
      </c>
      <c r="DG132" s="62">
        <v>112110.63129891551</v>
      </c>
      <c r="DH132" s="62">
        <v>421878.35862652888</v>
      </c>
      <c r="DI132" s="62">
        <v>355455.79303974775</v>
      </c>
      <c r="DJ132" s="62">
        <v>456291.68281797296</v>
      </c>
      <c r="DK132" s="62">
        <v>231031.76234503847</v>
      </c>
      <c r="DL132" s="62">
        <v>0</v>
      </c>
      <c r="DM132" s="62">
        <v>0</v>
      </c>
      <c r="DN132" s="62">
        <v>0</v>
      </c>
      <c r="DO132" s="62">
        <v>252994.20409196918</v>
      </c>
      <c r="DP132" s="62">
        <v>177168.66134478108</v>
      </c>
      <c r="DQ132" s="62">
        <v>0</v>
      </c>
      <c r="DR132" s="62">
        <v>0</v>
      </c>
      <c r="DS132" s="62">
        <v>13231907.765453825</v>
      </c>
      <c r="DT132" s="62">
        <v>10445606.259751987</v>
      </c>
      <c r="DU132" s="62">
        <v>0</v>
      </c>
      <c r="DV132" s="62">
        <v>0</v>
      </c>
      <c r="DW132" s="62">
        <v>13484901.9695458</v>
      </c>
      <c r="DX132" s="62">
        <v>10622774.921096765</v>
      </c>
      <c r="DY132" s="62">
        <v>0</v>
      </c>
      <c r="DZ132" s="62">
        <v>927040.43147591036</v>
      </c>
      <c r="EA132" s="62">
        <v>0</v>
      </c>
      <c r="EB132" s="62">
        <v>64150821.41594328</v>
      </c>
      <c r="EC132" s="62">
        <v>13250</v>
      </c>
      <c r="ED132" s="62">
        <v>64808.385300859984</v>
      </c>
      <c r="EE132" s="62">
        <v>65516138.342474654</v>
      </c>
      <c r="EF132" s="62">
        <v>13441</v>
      </c>
      <c r="EG132" s="62">
        <v>64890.482279154559</v>
      </c>
      <c r="EH132" s="62">
        <v>0</v>
      </c>
      <c r="EI132" s="62">
        <v>-82.09697829457582</v>
      </c>
      <c r="EJ132" s="62">
        <v>-1365316.9265313754</v>
      </c>
      <c r="EL132" s="62">
        <v>-0.29995798397780038</v>
      </c>
    </row>
    <row r="133" spans="1:142" hidden="1" x14ac:dyDescent="0.2">
      <c r="B133" s="62"/>
      <c r="H133" s="62">
        <v>186</v>
      </c>
    </row>
    <row r="134" spans="1:142" hidden="1" x14ac:dyDescent="0.2"/>
    <row r="135" spans="1:142" hidden="1" x14ac:dyDescent="0.2"/>
    <row r="136" spans="1:142" hidden="1" x14ac:dyDescent="0.2"/>
    <row r="137" spans="1:142" hidden="1" x14ac:dyDescent="0.2"/>
    <row r="138" spans="1:142" hidden="1" x14ac:dyDescent="0.2"/>
    <row r="139" spans="1:142" hidden="1" x14ac:dyDescent="0.2"/>
    <row r="140" spans="1:142" hidden="1" x14ac:dyDescent="0.2"/>
    <row r="141" spans="1:142" hidden="1" x14ac:dyDescent="0.2"/>
    <row r="142" spans="1:142" hidden="1" x14ac:dyDescent="0.2"/>
    <row r="143" spans="1:142" hidden="1" x14ac:dyDescent="0.2"/>
    <row r="144" spans="1:142" hidden="1" x14ac:dyDescent="0.2"/>
    <row r="145" spans="2:157" hidden="1" x14ac:dyDescent="0.2"/>
    <row r="146" spans="2:157" hidden="1" x14ac:dyDescent="0.2"/>
    <row r="149" spans="2:157" x14ac:dyDescent="0.2">
      <c r="B149" s="782">
        <v>1</v>
      </c>
      <c r="C149" s="62">
        <v>2</v>
      </c>
      <c r="D149" s="782">
        <v>3</v>
      </c>
      <c r="E149" s="62">
        <v>4</v>
      </c>
      <c r="F149" s="782">
        <v>5</v>
      </c>
      <c r="G149" s="62">
        <v>6</v>
      </c>
      <c r="H149" s="782">
        <v>7</v>
      </c>
      <c r="I149" s="62">
        <v>8</v>
      </c>
      <c r="J149" s="782">
        <v>9</v>
      </c>
      <c r="K149" s="62">
        <v>10</v>
      </c>
      <c r="L149" s="782">
        <v>11</v>
      </c>
      <c r="M149" s="62">
        <v>12</v>
      </c>
      <c r="N149" s="782">
        <v>13</v>
      </c>
      <c r="O149" s="62">
        <v>14</v>
      </c>
      <c r="P149" s="782">
        <v>15</v>
      </c>
      <c r="Q149" s="62">
        <v>16</v>
      </c>
      <c r="R149" s="782">
        <v>17</v>
      </c>
      <c r="S149" s="62">
        <v>18</v>
      </c>
      <c r="T149" s="782">
        <v>19</v>
      </c>
      <c r="U149" s="62">
        <v>20</v>
      </c>
      <c r="V149" s="782">
        <v>21</v>
      </c>
      <c r="W149" s="62">
        <v>22</v>
      </c>
      <c r="X149" s="782">
        <v>23</v>
      </c>
      <c r="Y149" s="62">
        <v>24</v>
      </c>
      <c r="Z149" s="782">
        <v>25</v>
      </c>
      <c r="AA149" s="62">
        <v>26</v>
      </c>
      <c r="AB149" s="782">
        <v>27</v>
      </c>
      <c r="AC149" s="62">
        <v>28</v>
      </c>
      <c r="AD149" s="782">
        <v>29</v>
      </c>
      <c r="AE149" s="62">
        <v>30</v>
      </c>
      <c r="AF149" s="782">
        <v>31</v>
      </c>
      <c r="AG149" s="62">
        <v>32</v>
      </c>
      <c r="AH149" s="782">
        <v>33</v>
      </c>
      <c r="AI149" s="62">
        <v>34</v>
      </c>
      <c r="AJ149" s="782">
        <v>35</v>
      </c>
      <c r="AK149" s="62">
        <v>36</v>
      </c>
      <c r="AL149" s="782">
        <v>37</v>
      </c>
      <c r="AM149" s="62">
        <v>38</v>
      </c>
      <c r="AN149" s="782">
        <v>39</v>
      </c>
      <c r="AO149" s="62">
        <v>40</v>
      </c>
      <c r="AP149" s="782">
        <v>41</v>
      </c>
      <c r="AQ149" s="62">
        <v>42</v>
      </c>
      <c r="AR149" s="782">
        <v>43</v>
      </c>
      <c r="AS149" s="62">
        <v>44</v>
      </c>
      <c r="AT149" s="782">
        <v>45</v>
      </c>
      <c r="AU149" s="62">
        <v>46</v>
      </c>
      <c r="AV149" s="782">
        <v>47</v>
      </c>
      <c r="AW149" s="62">
        <v>48</v>
      </c>
      <c r="AX149" s="782">
        <v>49</v>
      </c>
      <c r="AY149" s="62">
        <v>50</v>
      </c>
      <c r="AZ149" s="782">
        <v>51</v>
      </c>
      <c r="BA149" s="62">
        <v>52</v>
      </c>
      <c r="BB149" s="782">
        <v>53</v>
      </c>
      <c r="BC149" s="62">
        <v>54</v>
      </c>
      <c r="BD149" s="782">
        <v>55</v>
      </c>
      <c r="BE149" s="62">
        <v>56</v>
      </c>
      <c r="BF149" s="782">
        <v>57</v>
      </c>
      <c r="BG149" s="62">
        <v>58</v>
      </c>
      <c r="BH149" s="782">
        <v>59</v>
      </c>
      <c r="BI149" s="62">
        <v>60</v>
      </c>
      <c r="BJ149" s="782">
        <v>61</v>
      </c>
      <c r="BK149" s="62">
        <v>62</v>
      </c>
      <c r="BL149" s="782">
        <v>63</v>
      </c>
      <c r="BM149" s="62">
        <v>64</v>
      </c>
      <c r="BN149" s="782">
        <v>65</v>
      </c>
      <c r="BO149" s="62">
        <v>66</v>
      </c>
      <c r="BP149" s="782">
        <v>67</v>
      </c>
      <c r="BQ149" s="62">
        <v>68</v>
      </c>
      <c r="BR149" s="782">
        <v>69</v>
      </c>
      <c r="BS149" s="62">
        <v>70</v>
      </c>
      <c r="BT149" s="782">
        <v>71</v>
      </c>
      <c r="BU149" s="62">
        <v>72</v>
      </c>
      <c r="BV149" s="782">
        <v>73</v>
      </c>
      <c r="BW149" s="62">
        <v>74</v>
      </c>
      <c r="BX149" s="782">
        <v>75</v>
      </c>
      <c r="BY149" s="62">
        <v>76</v>
      </c>
      <c r="BZ149" s="782">
        <v>77</v>
      </c>
      <c r="CA149" s="62">
        <v>78</v>
      </c>
      <c r="CB149" s="782">
        <v>79</v>
      </c>
      <c r="CC149" s="62">
        <v>80</v>
      </c>
      <c r="CD149" s="782">
        <v>81</v>
      </c>
      <c r="CE149" s="62">
        <v>82</v>
      </c>
      <c r="CF149" s="782">
        <v>83</v>
      </c>
      <c r="CG149" s="62">
        <v>84</v>
      </c>
      <c r="CH149" s="782">
        <v>85</v>
      </c>
      <c r="CI149" s="62">
        <v>86</v>
      </c>
      <c r="CJ149" s="782">
        <v>87</v>
      </c>
      <c r="CK149" s="62">
        <v>88</v>
      </c>
      <c r="CL149" s="782">
        <v>89</v>
      </c>
      <c r="CM149" s="62">
        <v>90</v>
      </c>
      <c r="CN149" s="782">
        <v>91</v>
      </c>
      <c r="CO149" s="62">
        <v>92</v>
      </c>
      <c r="CP149" s="782">
        <v>93</v>
      </c>
      <c r="CQ149" s="62">
        <v>94</v>
      </c>
      <c r="CR149" s="782">
        <v>95</v>
      </c>
      <c r="CS149" s="62">
        <v>96</v>
      </c>
      <c r="CT149" s="782">
        <v>97</v>
      </c>
      <c r="CU149" s="62">
        <v>98</v>
      </c>
      <c r="CV149" s="782">
        <v>99</v>
      </c>
      <c r="CW149" s="62">
        <v>100</v>
      </c>
      <c r="CX149" s="782">
        <v>101</v>
      </c>
      <c r="CY149" s="62">
        <v>102</v>
      </c>
      <c r="CZ149" s="782">
        <v>103</v>
      </c>
      <c r="DA149" s="62">
        <v>104</v>
      </c>
      <c r="DB149" s="782">
        <v>105</v>
      </c>
      <c r="DC149" s="62">
        <v>106</v>
      </c>
      <c r="DD149" s="782">
        <v>107</v>
      </c>
      <c r="DE149" s="62">
        <v>108</v>
      </c>
      <c r="DF149" s="782">
        <v>109</v>
      </c>
      <c r="DG149" s="62">
        <v>110</v>
      </c>
      <c r="DH149" s="782">
        <v>111</v>
      </c>
      <c r="DI149" s="62">
        <v>112</v>
      </c>
      <c r="DJ149" s="782">
        <v>113</v>
      </c>
      <c r="DK149" s="62">
        <v>114</v>
      </c>
      <c r="DL149" s="782">
        <v>115</v>
      </c>
      <c r="DM149" s="62">
        <v>116</v>
      </c>
      <c r="DN149" s="782">
        <v>117</v>
      </c>
      <c r="DO149" s="62">
        <v>118</v>
      </c>
      <c r="DP149" s="782">
        <v>119</v>
      </c>
      <c r="DQ149" s="62">
        <v>120</v>
      </c>
      <c r="DR149" s="782">
        <v>121</v>
      </c>
      <c r="DS149" s="62">
        <v>122</v>
      </c>
      <c r="DT149" s="782">
        <v>123</v>
      </c>
      <c r="DU149" s="62">
        <v>124</v>
      </c>
      <c r="DV149" s="782">
        <v>125</v>
      </c>
      <c r="DW149" s="62">
        <v>126</v>
      </c>
      <c r="DX149" s="782">
        <v>127</v>
      </c>
      <c r="DY149" s="62">
        <v>128</v>
      </c>
      <c r="DZ149" s="782">
        <v>129</v>
      </c>
      <c r="EA149" s="62">
        <v>130</v>
      </c>
      <c r="EB149" s="782">
        <v>131</v>
      </c>
      <c r="EC149" s="62">
        <v>132</v>
      </c>
      <c r="ED149" s="782">
        <v>133</v>
      </c>
      <c r="EE149" s="62">
        <v>134</v>
      </c>
      <c r="EF149" s="782">
        <v>135</v>
      </c>
      <c r="EG149" s="62">
        <v>136</v>
      </c>
      <c r="EH149" s="782">
        <v>137</v>
      </c>
      <c r="EI149" s="62">
        <v>138</v>
      </c>
      <c r="EJ149" s="782">
        <v>139</v>
      </c>
      <c r="EK149" s="62">
        <v>140</v>
      </c>
      <c r="EL149" s="782">
        <v>141</v>
      </c>
      <c r="EM149" s="62">
        <v>142</v>
      </c>
      <c r="EN149" s="782">
        <v>143</v>
      </c>
      <c r="EO149" s="62">
        <v>144</v>
      </c>
      <c r="EP149" s="782">
        <v>145</v>
      </c>
      <c r="EQ149" s="62">
        <v>146</v>
      </c>
      <c r="ER149" s="782">
        <v>147</v>
      </c>
      <c r="ES149" s="62">
        <v>148</v>
      </c>
      <c r="ET149" s="782">
        <v>149</v>
      </c>
      <c r="EU149" s="62">
        <v>150</v>
      </c>
      <c r="EV149" s="782">
        <v>151</v>
      </c>
      <c r="EW149" s="62">
        <v>152</v>
      </c>
      <c r="EX149" s="782">
        <v>153</v>
      </c>
      <c r="EY149" s="62">
        <v>154</v>
      </c>
      <c r="EZ149" s="782">
        <v>155</v>
      </c>
      <c r="FA149" s="62">
        <v>156</v>
      </c>
    </row>
    <row r="154" spans="2:157" x14ac:dyDescent="0.2">
      <c r="BA154" s="120">
        <v>100714209.44295053</v>
      </c>
    </row>
  </sheetData>
  <sheetProtection password="EF5C" sheet="1" objects="1" scenarios="1"/>
  <phoneticPr fontId="2" type="noConversion"/>
  <pageMargins left="0.28000000000000003" right="0.75" top="0.4" bottom="0.49" header="0.17" footer="0.22"/>
  <pageSetup paperSize="9" scale="58" orientation="landscape" r:id="rId1"/>
  <headerFooter alignWithMargins="0">
    <oddHeader>&amp;A</oddHeader>
    <oddFooter>&amp;Z&amp;F</oddFooter>
  </headerFooter>
  <colBreaks count="1" manualBreakCount="1">
    <brk id="74"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T72"/>
  <sheetViews>
    <sheetView workbookViewId="0">
      <pane xSplit="2" ySplit="1" topLeftCell="C41" activePane="bottomRight" state="frozen"/>
      <selection sqref="A1:XFD1048576"/>
      <selection pane="topRight" sqref="A1:XFD1048576"/>
      <selection pane="bottomLeft" sqref="A1:XFD1048576"/>
      <selection pane="bottomRight" activeCell="B60" sqref="B60"/>
    </sheetView>
  </sheetViews>
  <sheetFormatPr defaultRowHeight="12.75" x14ac:dyDescent="0.2"/>
  <cols>
    <col min="1" max="1" width="42.140625" style="76" bestFit="1" customWidth="1"/>
    <col min="2" max="2" width="17.85546875" style="154" customWidth="1"/>
    <col min="3" max="3" width="13.28515625" style="181" customWidth="1"/>
    <col min="4" max="4" width="10.140625" style="181" bestFit="1" customWidth="1"/>
    <col min="5" max="5" width="20.7109375" style="181" customWidth="1"/>
    <col min="6" max="6" width="10.140625" style="181" bestFit="1" customWidth="1"/>
    <col min="7" max="7" width="17" style="181" customWidth="1"/>
    <col min="8" max="12" width="17.5703125" style="181" customWidth="1"/>
    <col min="13" max="13" width="14.5703125" style="76" customWidth="1"/>
    <col min="14" max="14" width="9.7109375" style="76" bestFit="1" customWidth="1"/>
    <col min="15" max="16384" width="9.140625" style="76"/>
  </cols>
  <sheetData>
    <row r="1" spans="1:20" ht="77.25" customHeight="1" x14ac:dyDescent="0.2">
      <c r="A1" s="3" t="s">
        <v>353</v>
      </c>
      <c r="B1" s="171" t="s">
        <v>341</v>
      </c>
      <c r="C1" s="727" t="s">
        <v>354</v>
      </c>
      <c r="D1" s="728" t="s">
        <v>355</v>
      </c>
      <c r="E1" s="723" t="s">
        <v>356</v>
      </c>
      <c r="F1" s="723" t="s">
        <v>357</v>
      </c>
      <c r="G1" s="172" t="s">
        <v>360</v>
      </c>
      <c r="H1" s="172" t="s">
        <v>361</v>
      </c>
      <c r="I1" s="172" t="s">
        <v>362</v>
      </c>
      <c r="J1" s="172" t="s">
        <v>363</v>
      </c>
      <c r="K1" s="172" t="s">
        <v>985</v>
      </c>
      <c r="L1" s="172" t="s">
        <v>364</v>
      </c>
    </row>
    <row r="2" spans="1:20" x14ac:dyDescent="0.2">
      <c r="A2" s="42"/>
      <c r="B2" s="169"/>
      <c r="C2" s="210" t="s">
        <v>343</v>
      </c>
      <c r="D2" s="173" t="s">
        <v>344</v>
      </c>
      <c r="E2" s="173" t="s">
        <v>345</v>
      </c>
      <c r="F2" s="173" t="s">
        <v>346</v>
      </c>
      <c r="G2" s="173" t="s">
        <v>347</v>
      </c>
      <c r="H2" s="173" t="s">
        <v>348</v>
      </c>
      <c r="I2" s="173" t="s">
        <v>349</v>
      </c>
      <c r="J2" s="173" t="s">
        <v>350</v>
      </c>
      <c r="K2" s="173" t="s">
        <v>351</v>
      </c>
      <c r="L2" s="173" t="s">
        <v>352</v>
      </c>
    </row>
    <row r="3" spans="1:20" s="186" customFormat="1" ht="101.25" customHeight="1" x14ac:dyDescent="0.2">
      <c r="A3" s="183" t="s">
        <v>365</v>
      </c>
      <c r="B3" s="184"/>
      <c r="C3" s="211">
        <v>3015105</v>
      </c>
      <c r="D3" s="187" t="s">
        <v>366</v>
      </c>
      <c r="E3" s="185">
        <v>3011202</v>
      </c>
      <c r="F3" s="187" t="s">
        <v>979</v>
      </c>
      <c r="G3" s="187" t="s">
        <v>598</v>
      </c>
      <c r="H3" s="187" t="s">
        <v>599</v>
      </c>
      <c r="I3" s="187" t="s">
        <v>600</v>
      </c>
      <c r="J3" s="187" t="s">
        <v>601</v>
      </c>
      <c r="K3" s="185" t="s">
        <v>602</v>
      </c>
      <c r="L3" s="187" t="s">
        <v>980</v>
      </c>
      <c r="M3" s="187" t="s">
        <v>978</v>
      </c>
      <c r="O3"/>
      <c r="P3"/>
      <c r="Q3"/>
    </row>
    <row r="4" spans="1:20" s="186" customFormat="1" ht="14.25" customHeight="1" x14ac:dyDescent="0.2">
      <c r="A4" s="229" t="s">
        <v>179</v>
      </c>
      <c r="B4" s="230">
        <v>80905</v>
      </c>
      <c r="C4" s="209">
        <v>3168</v>
      </c>
      <c r="D4" s="208">
        <v>8470</v>
      </c>
      <c r="E4" s="207">
        <v>21600</v>
      </c>
      <c r="F4" s="208">
        <v>2364</v>
      </c>
      <c r="G4" s="207">
        <v>3042</v>
      </c>
      <c r="H4" s="207">
        <v>7068</v>
      </c>
      <c r="I4" s="207">
        <v>11118</v>
      </c>
      <c r="J4" s="207">
        <v>3219</v>
      </c>
      <c r="K4" s="207">
        <v>8776</v>
      </c>
      <c r="L4" s="207">
        <v>12080</v>
      </c>
      <c r="M4" s="186">
        <v>1.984876816047269E-2</v>
      </c>
      <c r="O4" s="13" t="s">
        <v>973</v>
      </c>
      <c r="P4" s="13" t="s">
        <v>974</v>
      </c>
      <c r="Q4" s="13" t="s">
        <v>342</v>
      </c>
    </row>
    <row r="5" spans="1:20" s="186" customFormat="1" ht="14.25" customHeight="1" x14ac:dyDescent="0.2">
      <c r="A5" s="3" t="s">
        <v>169</v>
      </c>
      <c r="B5" s="226">
        <v>1566352</v>
      </c>
      <c r="C5" s="209">
        <v>72867</v>
      </c>
      <c r="D5" s="208">
        <v>76231</v>
      </c>
      <c r="E5" s="207">
        <v>296439</v>
      </c>
      <c r="F5" s="208">
        <v>153549</v>
      </c>
      <c r="G5" s="207">
        <v>197542</v>
      </c>
      <c r="H5" s="207">
        <v>64498</v>
      </c>
      <c r="I5" s="207">
        <v>256009</v>
      </c>
      <c r="J5" s="207">
        <v>31365</v>
      </c>
      <c r="K5" s="207">
        <v>78979</v>
      </c>
      <c r="L5" s="182">
        <v>338873</v>
      </c>
      <c r="M5" s="186">
        <v>0.55680559708972366</v>
      </c>
      <c r="O5" s="13"/>
      <c r="P5" s="13"/>
      <c r="Q5" s="13"/>
    </row>
    <row r="6" spans="1:20" s="186" customFormat="1" ht="14.25" customHeight="1" x14ac:dyDescent="0.2">
      <c r="A6" s="3" t="s">
        <v>221</v>
      </c>
      <c r="B6" s="226">
        <v>883899</v>
      </c>
      <c r="C6" s="209">
        <v>74451</v>
      </c>
      <c r="D6" s="208">
        <v>13764</v>
      </c>
      <c r="E6" s="207">
        <v>112168</v>
      </c>
      <c r="F6" s="208">
        <v>97102</v>
      </c>
      <c r="G6" s="207">
        <v>124923</v>
      </c>
      <c r="H6" s="207">
        <v>10602</v>
      </c>
      <c r="I6" s="207">
        <v>193625</v>
      </c>
      <c r="J6" s="207">
        <v>5227</v>
      </c>
      <c r="K6" s="207">
        <v>14260</v>
      </c>
      <c r="L6" s="207">
        <v>237777</v>
      </c>
      <c r="M6" s="186">
        <v>0.39069375388184724</v>
      </c>
      <c r="O6" s="21">
        <v>376658.82</v>
      </c>
      <c r="P6" s="13" t="s">
        <v>975</v>
      </c>
      <c r="Q6" s="21">
        <v>0.57665385973415084</v>
      </c>
    </row>
    <row r="7" spans="1:20" s="186" customFormat="1" ht="14.25" customHeight="1" x14ac:dyDescent="0.2">
      <c r="A7" s="229" t="s">
        <v>586</v>
      </c>
      <c r="B7" s="230">
        <v>99452</v>
      </c>
      <c r="C7" s="209">
        <v>7920</v>
      </c>
      <c r="D7" s="208">
        <v>6353</v>
      </c>
      <c r="E7" s="207">
        <v>16200</v>
      </c>
      <c r="F7" s="208">
        <v>3608</v>
      </c>
      <c r="G7" s="207">
        <v>4642</v>
      </c>
      <c r="H7" s="207">
        <v>5301</v>
      </c>
      <c r="I7" s="207">
        <v>26967</v>
      </c>
      <c r="J7" s="207">
        <v>2007</v>
      </c>
      <c r="K7" s="207">
        <v>6582</v>
      </c>
      <c r="L7" s="207">
        <v>19872</v>
      </c>
      <c r="M7" s="186">
        <v>3.2651880867956395E-2</v>
      </c>
      <c r="O7" s="21">
        <v>255193.63</v>
      </c>
      <c r="P7" s="13" t="s">
        <v>976</v>
      </c>
      <c r="Q7" s="21">
        <v>0.39069413459923436</v>
      </c>
    </row>
    <row r="8" spans="1:20" x14ac:dyDescent="0.2">
      <c r="A8" s="150" t="s">
        <v>358</v>
      </c>
      <c r="B8" s="204">
        <v>2630608</v>
      </c>
      <c r="C8" s="212">
        <v>158406</v>
      </c>
      <c r="D8" s="206">
        <v>104818</v>
      </c>
      <c r="E8" s="206">
        <v>446407</v>
      </c>
      <c r="F8" s="206">
        <v>256623</v>
      </c>
      <c r="G8" s="206">
        <v>330149</v>
      </c>
      <c r="H8" s="206">
        <v>87469</v>
      </c>
      <c r="I8" s="206">
        <v>487719</v>
      </c>
      <c r="J8" s="206">
        <v>41818</v>
      </c>
      <c r="K8" s="206">
        <v>108597</v>
      </c>
      <c r="L8" s="206">
        <v>608602</v>
      </c>
      <c r="M8" s="186">
        <v>1</v>
      </c>
      <c r="O8" s="21">
        <v>21327.64</v>
      </c>
      <c r="P8" s="13" t="s">
        <v>977</v>
      </c>
      <c r="Q8" s="21">
        <v>3.2652005666614851E-2</v>
      </c>
      <c r="R8" s="186"/>
      <c r="S8" s="186"/>
      <c r="T8" s="186"/>
    </row>
    <row r="9" spans="1:20" ht="38.25" x14ac:dyDescent="0.2">
      <c r="A9" s="18" t="s">
        <v>581</v>
      </c>
      <c r="B9" s="226">
        <v>56365</v>
      </c>
      <c r="C9" s="213"/>
      <c r="D9" s="182"/>
      <c r="E9" s="182"/>
      <c r="F9" s="182">
        <v>56365</v>
      </c>
      <c r="G9" s="182"/>
      <c r="H9" s="182"/>
      <c r="I9" s="182"/>
      <c r="J9" s="182"/>
      <c r="K9" s="182"/>
      <c r="L9" s="235"/>
      <c r="O9" s="63">
        <v>653180.09</v>
      </c>
      <c r="P9" s="13"/>
      <c r="Q9" s="13"/>
    </row>
    <row r="10" spans="1:20" ht="51" x14ac:dyDescent="0.2">
      <c r="A10" s="18" t="s">
        <v>582</v>
      </c>
      <c r="B10" s="226">
        <v>-56365</v>
      </c>
      <c r="C10" s="213"/>
      <c r="D10" s="182"/>
      <c r="E10" s="182"/>
      <c r="F10" s="182">
        <v>-56365</v>
      </c>
      <c r="G10" s="182"/>
      <c r="H10" s="182"/>
      <c r="I10" s="182"/>
      <c r="J10" s="182"/>
      <c r="K10" s="182"/>
      <c r="L10" s="236"/>
    </row>
    <row r="11" spans="1:20" x14ac:dyDescent="0.2">
      <c r="A11" s="150" t="s">
        <v>595</v>
      </c>
      <c r="B11" s="204">
        <v>2630608</v>
      </c>
      <c r="C11" s="204">
        <v>158406</v>
      </c>
      <c r="D11" s="204">
        <v>104818</v>
      </c>
      <c r="E11" s="204">
        <v>446407</v>
      </c>
      <c r="F11" s="204">
        <v>256623</v>
      </c>
      <c r="G11" s="204">
        <v>330149</v>
      </c>
      <c r="H11" s="204">
        <v>87469</v>
      </c>
      <c r="I11" s="204">
        <v>487719</v>
      </c>
      <c r="J11" s="204">
        <v>41818</v>
      </c>
      <c r="K11" s="204">
        <v>108597</v>
      </c>
      <c r="L11" s="233">
        <v>608602</v>
      </c>
      <c r="M11" s="234"/>
    </row>
    <row r="12" spans="1:20" x14ac:dyDescent="0.2">
      <c r="A12" s="229" t="s">
        <v>591</v>
      </c>
      <c r="B12" s="230">
        <v>-7217.6471960597946</v>
      </c>
      <c r="C12" s="213"/>
      <c r="D12" s="182">
        <v>0</v>
      </c>
      <c r="E12" s="182">
        <v>0</v>
      </c>
      <c r="F12" s="182">
        <v>-233</v>
      </c>
      <c r="G12" s="182"/>
      <c r="H12" s="182"/>
      <c r="I12" s="182"/>
      <c r="J12" s="182"/>
      <c r="K12" s="182">
        <v>-6984.6471960597946</v>
      </c>
      <c r="L12" s="182"/>
    </row>
    <row r="13" spans="1:20" x14ac:dyDescent="0.2">
      <c r="A13" s="227" t="s">
        <v>593</v>
      </c>
      <c r="B13" s="226">
        <v>-69577.031603035983</v>
      </c>
      <c r="C13" s="213"/>
      <c r="D13" s="182"/>
      <c r="E13" s="182"/>
      <c r="F13" s="182">
        <v>-15124</v>
      </c>
      <c r="G13" s="182"/>
      <c r="H13" s="182"/>
      <c r="I13" s="182"/>
      <c r="J13" s="182"/>
      <c r="K13" s="182">
        <v>-54453.031603035983</v>
      </c>
      <c r="L13" s="182"/>
    </row>
    <row r="14" spans="1:20" x14ac:dyDescent="0.2">
      <c r="A14" s="227" t="s">
        <v>594</v>
      </c>
      <c r="B14" s="226">
        <v>-7971.8496946452124</v>
      </c>
      <c r="C14" s="213"/>
      <c r="D14" s="182"/>
      <c r="E14" s="182"/>
      <c r="F14" s="182">
        <v>-9564</v>
      </c>
      <c r="G14" s="182"/>
      <c r="H14" s="182"/>
      <c r="I14" s="182"/>
      <c r="J14" s="182"/>
      <c r="K14" s="768">
        <v>1592.1503053547876</v>
      </c>
      <c r="L14" s="182"/>
    </row>
    <row r="15" spans="1:20" x14ac:dyDescent="0.2">
      <c r="A15" s="229" t="s">
        <v>592</v>
      </c>
      <c r="B15" s="230">
        <v>-6184.4715062590067</v>
      </c>
      <c r="C15" s="213"/>
      <c r="D15" s="182"/>
      <c r="E15" s="182"/>
      <c r="F15" s="182">
        <v>-355</v>
      </c>
      <c r="G15" s="182"/>
      <c r="H15" s="182"/>
      <c r="I15" s="182"/>
      <c r="J15" s="182"/>
      <c r="K15" s="768">
        <v>-5829.4715062590067</v>
      </c>
      <c r="L15" s="182"/>
    </row>
    <row r="16" spans="1:20" ht="38.25" x14ac:dyDescent="0.2">
      <c r="A16" s="228" t="s">
        <v>590</v>
      </c>
      <c r="B16" s="226">
        <v>-25276</v>
      </c>
      <c r="C16" s="212"/>
      <c r="D16" s="206"/>
      <c r="E16" s="206"/>
      <c r="F16" s="206">
        <v>-25276</v>
      </c>
      <c r="G16" s="205"/>
      <c r="H16" s="205"/>
      <c r="I16" s="205"/>
      <c r="J16" s="205"/>
      <c r="K16" s="205"/>
      <c r="L16" s="205"/>
    </row>
    <row r="17" spans="1:14" x14ac:dyDescent="0.2">
      <c r="A17" s="231" t="s">
        <v>585</v>
      </c>
      <c r="B17" s="237">
        <v>2372702.1187023185</v>
      </c>
      <c r="C17" s="232">
        <v>147318</v>
      </c>
      <c r="D17" s="232">
        <v>89995</v>
      </c>
      <c r="E17" s="232">
        <v>408607</v>
      </c>
      <c r="F17" s="232">
        <v>225963</v>
      </c>
      <c r="G17" s="232">
        <v>322465</v>
      </c>
      <c r="H17" s="232">
        <v>75100</v>
      </c>
      <c r="I17" s="232">
        <v>449634</v>
      </c>
      <c r="J17" s="232">
        <v>36592</v>
      </c>
      <c r="K17" s="232">
        <v>40378.118702318803</v>
      </c>
      <c r="L17" s="232">
        <v>576650</v>
      </c>
      <c r="N17" s="120">
        <v>2372702.1187023185</v>
      </c>
    </row>
    <row r="18" spans="1:14" x14ac:dyDescent="0.2">
      <c r="A18" s="3" t="s">
        <v>151</v>
      </c>
      <c r="B18" s="170"/>
      <c r="C18" s="214"/>
      <c r="D18" s="174"/>
      <c r="E18" s="174"/>
      <c r="F18" s="202"/>
      <c r="G18" s="174"/>
      <c r="H18" s="174"/>
      <c r="I18" s="174"/>
      <c r="J18" s="174"/>
      <c r="K18" s="174"/>
      <c r="L18" s="174"/>
    </row>
    <row r="19" spans="1:14" x14ac:dyDescent="0.2">
      <c r="A19" s="107" t="s">
        <v>230</v>
      </c>
      <c r="B19" s="170"/>
      <c r="C19" s="215"/>
      <c r="D19" s="174"/>
      <c r="E19" s="174"/>
      <c r="F19" s="174"/>
      <c r="G19" s="174"/>
      <c r="H19" s="174"/>
      <c r="I19" s="174"/>
      <c r="J19" s="174"/>
      <c r="K19" s="174"/>
      <c r="L19" s="174"/>
    </row>
    <row r="20" spans="1:14" x14ac:dyDescent="0.2">
      <c r="A20" s="31"/>
      <c r="B20" s="170"/>
      <c r="C20" s="215"/>
      <c r="D20" s="174"/>
      <c r="E20" s="174"/>
      <c r="F20" s="174"/>
      <c r="G20" s="174"/>
      <c r="H20" s="174"/>
      <c r="I20" s="174"/>
      <c r="J20" s="174"/>
      <c r="K20" s="174"/>
      <c r="L20" s="174"/>
    </row>
    <row r="21" spans="1:14" x14ac:dyDescent="0.2">
      <c r="A21" s="168" t="s">
        <v>141</v>
      </c>
      <c r="B21" s="226">
        <v>1496774.968396964</v>
      </c>
      <c r="C21" s="216">
        <v>72867</v>
      </c>
      <c r="D21" s="175">
        <v>76231</v>
      </c>
      <c r="E21" s="175">
        <v>296439</v>
      </c>
      <c r="F21" s="175">
        <v>138425</v>
      </c>
      <c r="G21" s="175">
        <v>197542</v>
      </c>
      <c r="H21" s="175">
        <v>64498</v>
      </c>
      <c r="I21" s="175">
        <v>256009</v>
      </c>
      <c r="J21" s="175">
        <v>31365</v>
      </c>
      <c r="K21" s="175">
        <v>24525.968396964017</v>
      </c>
      <c r="L21" s="175">
        <v>338873</v>
      </c>
    </row>
    <row r="22" spans="1:14" x14ac:dyDescent="0.2">
      <c r="A22" s="163" t="s">
        <v>139</v>
      </c>
      <c r="B22" s="226">
        <v>519342.16549425409</v>
      </c>
      <c r="C22" s="216">
        <v>44142.419320754714</v>
      </c>
      <c r="D22" s="175">
        <v>8160.7535094339619</v>
      </c>
      <c r="E22" s="175">
        <v>66505.042113207543</v>
      </c>
      <c r="F22" s="175">
        <v>51901.775698113212</v>
      </c>
      <c r="G22" s="175">
        <v>74067.553811320744</v>
      </c>
      <c r="H22" s="175">
        <v>6285.9858113207547</v>
      </c>
      <c r="I22" s="175">
        <v>114801.35849056604</v>
      </c>
      <c r="J22" s="175">
        <v>3099.1178867924527</v>
      </c>
      <c r="K22" s="175">
        <v>9398.8296451975257</v>
      </c>
      <c r="L22" s="175">
        <v>140979.32920754715</v>
      </c>
    </row>
    <row r="23" spans="1:14" x14ac:dyDescent="0.2">
      <c r="A23" s="163" t="s">
        <v>140</v>
      </c>
      <c r="B23" s="226">
        <v>356584.98481110064</v>
      </c>
      <c r="C23" s="216">
        <v>30308.580679245282</v>
      </c>
      <c r="D23" s="175">
        <v>5603.2464905660372</v>
      </c>
      <c r="E23" s="175">
        <v>45662.95788679245</v>
      </c>
      <c r="F23" s="175">
        <v>35636.224301886796</v>
      </c>
      <c r="G23" s="175">
        <v>50855.446188679241</v>
      </c>
      <c r="H23" s="175">
        <v>4316.0141886792453</v>
      </c>
      <c r="I23" s="175">
        <v>78823.641509433961</v>
      </c>
      <c r="J23" s="175">
        <v>2127.8821132075473</v>
      </c>
      <c r="K23" s="175">
        <v>6453.3206601572629</v>
      </c>
      <c r="L23" s="175">
        <v>96797.670792452831</v>
      </c>
    </row>
    <row r="24" spans="1:14" ht="13.5" thickBot="1" x14ac:dyDescent="0.25">
      <c r="A24" s="163" t="s">
        <v>204</v>
      </c>
      <c r="B24" s="226">
        <v>0</v>
      </c>
      <c r="C24" s="217"/>
      <c r="D24" s="176"/>
      <c r="E24" s="176"/>
      <c r="F24" s="176"/>
      <c r="G24" s="176"/>
      <c r="H24" s="176"/>
      <c r="I24" s="176"/>
      <c r="J24" s="176"/>
      <c r="K24" s="176"/>
      <c r="L24" s="176"/>
    </row>
    <row r="25" spans="1:14" x14ac:dyDescent="0.2">
      <c r="A25" s="59" t="s">
        <v>174</v>
      </c>
      <c r="B25" s="204">
        <v>2372702.1187023185</v>
      </c>
      <c r="C25" s="218">
        <v>147318</v>
      </c>
      <c r="D25" s="177">
        <v>89995</v>
      </c>
      <c r="E25" s="177">
        <v>408606.99999999994</v>
      </c>
      <c r="F25" s="177">
        <v>225963</v>
      </c>
      <c r="G25" s="177">
        <v>322465</v>
      </c>
      <c r="H25" s="177">
        <v>75100</v>
      </c>
      <c r="I25" s="177">
        <v>449634</v>
      </c>
      <c r="J25" s="177">
        <v>36592</v>
      </c>
      <c r="K25" s="177">
        <v>40378.118702318803</v>
      </c>
      <c r="L25" s="177">
        <v>576650</v>
      </c>
      <c r="M25" s="122">
        <v>2372702.1187023185</v>
      </c>
    </row>
    <row r="26" spans="1:14" x14ac:dyDescent="0.2">
      <c r="A26"/>
      <c r="B26" s="170"/>
      <c r="C26" s="219">
        <v>0</v>
      </c>
      <c r="D26" s="178">
        <v>0</v>
      </c>
      <c r="E26" s="178">
        <v>0</v>
      </c>
      <c r="F26" s="178">
        <v>0</v>
      </c>
      <c r="G26" s="178">
        <v>0</v>
      </c>
      <c r="H26" s="178">
        <v>0</v>
      </c>
      <c r="I26" s="178">
        <v>0</v>
      </c>
      <c r="J26" s="178">
        <v>0</v>
      </c>
      <c r="K26" s="178">
        <v>0</v>
      </c>
      <c r="L26" s="178">
        <v>0</v>
      </c>
    </row>
    <row r="27" spans="1:14" x14ac:dyDescent="0.2">
      <c r="A27" s="13" t="s">
        <v>231</v>
      </c>
      <c r="B27" s="170"/>
      <c r="C27" s="214"/>
      <c r="D27" s="174"/>
      <c r="E27" s="174"/>
      <c r="F27" s="722">
        <v>634570</v>
      </c>
      <c r="G27" s="174"/>
      <c r="H27" s="174"/>
      <c r="I27" s="174"/>
      <c r="J27" s="174"/>
      <c r="K27" s="174"/>
      <c r="L27" s="174"/>
    </row>
    <row r="28" spans="1:14" x14ac:dyDescent="0.2">
      <c r="A28" s="13"/>
      <c r="B28" s="170"/>
      <c r="C28" s="214"/>
      <c r="D28" s="174"/>
      <c r="E28" s="174"/>
      <c r="F28" s="174"/>
      <c r="G28" s="174"/>
      <c r="H28" s="174"/>
      <c r="I28" s="174"/>
      <c r="J28" s="174"/>
      <c r="K28" s="174"/>
      <c r="L28" s="174"/>
      <c r="N28" s="76" t="s">
        <v>1013</v>
      </c>
    </row>
    <row r="29" spans="1:14" x14ac:dyDescent="0.2">
      <c r="A29" s="3" t="s">
        <v>153</v>
      </c>
      <c r="B29" s="170"/>
      <c r="C29" s="214" t="s">
        <v>1007</v>
      </c>
      <c r="D29" s="174"/>
      <c r="E29" s="174"/>
      <c r="F29" s="174"/>
      <c r="G29" s="174"/>
      <c r="H29" s="174"/>
      <c r="I29" s="174"/>
      <c r="J29" s="174"/>
      <c r="K29" s="174"/>
      <c r="L29" s="174"/>
    </row>
    <row r="30" spans="1:14" x14ac:dyDescent="0.2">
      <c r="A30" s="163" t="s">
        <v>141</v>
      </c>
      <c r="B30" s="170"/>
      <c r="C30" s="220">
        <v>20500</v>
      </c>
      <c r="D30" s="220">
        <v>20500</v>
      </c>
      <c r="E30" s="220">
        <v>20500</v>
      </c>
      <c r="F30" s="220">
        <v>20500</v>
      </c>
      <c r="G30" s="764">
        <v>20500</v>
      </c>
      <c r="H30" s="220">
        <v>20500</v>
      </c>
      <c r="I30" s="220">
        <v>20500</v>
      </c>
      <c r="J30" s="220">
        <v>20500</v>
      </c>
      <c r="K30" s="220">
        <v>20500</v>
      </c>
      <c r="L30" s="220">
        <v>20500</v>
      </c>
      <c r="N30" s="76">
        <v>24525.968396964017</v>
      </c>
    </row>
    <row r="31" spans="1:14" x14ac:dyDescent="0.2">
      <c r="A31" s="163" t="s">
        <v>139</v>
      </c>
      <c r="B31" s="170"/>
      <c r="C31" s="220">
        <v>7856</v>
      </c>
      <c r="D31" s="220">
        <v>7856</v>
      </c>
      <c r="E31" s="220">
        <v>7856</v>
      </c>
      <c r="F31" s="220">
        <v>7856</v>
      </c>
      <c r="G31" s="764">
        <v>7856</v>
      </c>
      <c r="H31" s="220">
        <v>7856</v>
      </c>
      <c r="I31" s="220">
        <v>7856</v>
      </c>
      <c r="J31" s="220">
        <v>7856</v>
      </c>
      <c r="K31" s="220">
        <v>7856</v>
      </c>
      <c r="L31" s="220">
        <v>7856</v>
      </c>
      <c r="N31" s="76">
        <v>9398.8296451975257</v>
      </c>
    </row>
    <row r="32" spans="1:14" x14ac:dyDescent="0.2">
      <c r="A32" s="163" t="s">
        <v>140</v>
      </c>
      <c r="B32" s="170"/>
      <c r="C32" s="220">
        <v>5394</v>
      </c>
      <c r="D32" s="220">
        <v>5394</v>
      </c>
      <c r="E32" s="220">
        <v>5394</v>
      </c>
      <c r="F32" s="220">
        <v>5394</v>
      </c>
      <c r="G32" s="764">
        <v>5394</v>
      </c>
      <c r="H32" s="220">
        <v>5394</v>
      </c>
      <c r="I32" s="220">
        <v>5394</v>
      </c>
      <c r="J32" s="220">
        <v>5394</v>
      </c>
      <c r="K32" s="220">
        <v>5394</v>
      </c>
      <c r="L32" s="220">
        <v>5394</v>
      </c>
      <c r="N32" s="76">
        <v>6453.3206601572629</v>
      </c>
    </row>
    <row r="33" spans="1:13" x14ac:dyDescent="0.2">
      <c r="A33" s="76" t="s">
        <v>205</v>
      </c>
      <c r="B33" s="170"/>
      <c r="C33" s="221">
        <v>13250</v>
      </c>
      <c r="D33" s="179">
        <v>13250</v>
      </c>
      <c r="E33" s="179">
        <v>13250</v>
      </c>
      <c r="F33" s="179">
        <v>13250</v>
      </c>
      <c r="G33" s="765">
        <v>13250</v>
      </c>
      <c r="H33" s="179">
        <v>13250</v>
      </c>
      <c r="I33" s="179">
        <v>13250</v>
      </c>
      <c r="J33" s="179">
        <v>13250</v>
      </c>
      <c r="K33" s="179">
        <v>13250</v>
      </c>
      <c r="L33" s="179">
        <v>13250</v>
      </c>
    </row>
    <row r="34" spans="1:13" x14ac:dyDescent="0.2">
      <c r="A34"/>
      <c r="B34" s="170"/>
      <c r="C34" s="222">
        <v>33750</v>
      </c>
      <c r="D34" s="180">
        <v>33750</v>
      </c>
      <c r="E34" s="180">
        <v>33750</v>
      </c>
      <c r="F34" s="180">
        <v>33750</v>
      </c>
      <c r="G34" s="766">
        <v>33750</v>
      </c>
      <c r="H34" s="180">
        <v>33750</v>
      </c>
      <c r="I34" s="180">
        <v>33750</v>
      </c>
      <c r="J34" s="180">
        <v>33750</v>
      </c>
      <c r="K34" s="180">
        <v>33750</v>
      </c>
      <c r="L34" s="180">
        <v>33750</v>
      </c>
    </row>
    <row r="35" spans="1:13" x14ac:dyDescent="0.2">
      <c r="A35"/>
      <c r="B35" s="170"/>
      <c r="C35" s="214"/>
      <c r="D35" s="174"/>
      <c r="E35" s="174"/>
      <c r="F35" s="174"/>
      <c r="G35" s="174"/>
      <c r="H35" s="174"/>
      <c r="I35" s="174"/>
      <c r="J35" s="174"/>
      <c r="K35" s="174"/>
      <c r="L35" s="174"/>
    </row>
    <row r="36" spans="1:13" x14ac:dyDescent="0.2">
      <c r="A36" s="3" t="s">
        <v>150</v>
      </c>
      <c r="B36" s="170"/>
      <c r="C36" s="214"/>
      <c r="D36" s="174"/>
      <c r="E36" s="174"/>
      <c r="F36" s="174"/>
      <c r="G36" s="174"/>
      <c r="H36" s="174"/>
      <c r="I36" s="174"/>
      <c r="J36" s="174"/>
      <c r="K36" s="174"/>
      <c r="L36" s="174"/>
    </row>
    <row r="37" spans="1:13" x14ac:dyDescent="0.2">
      <c r="A37" s="13"/>
      <c r="B37" s="170"/>
      <c r="C37" s="214"/>
      <c r="D37" s="174"/>
      <c r="E37" s="174"/>
      <c r="F37" s="174"/>
      <c r="G37" s="174"/>
      <c r="H37" s="174"/>
      <c r="I37" s="174"/>
      <c r="J37" s="174"/>
      <c r="K37" s="174"/>
      <c r="L37" s="174"/>
    </row>
    <row r="38" spans="1:13" x14ac:dyDescent="0.2">
      <c r="A38" s="13"/>
      <c r="B38" s="170"/>
      <c r="C38" s="223" t="s">
        <v>177</v>
      </c>
      <c r="D38" s="174"/>
      <c r="E38" s="174"/>
      <c r="F38" s="174"/>
      <c r="G38" s="174"/>
      <c r="H38" s="174"/>
      <c r="I38" s="174"/>
      <c r="J38" s="174"/>
      <c r="K38" s="174"/>
      <c r="L38" s="174"/>
    </row>
    <row r="39" spans="1:13" x14ac:dyDescent="0.2">
      <c r="A39" s="163" t="s">
        <v>141</v>
      </c>
      <c r="B39" s="203">
        <v>73.013413092534819</v>
      </c>
      <c r="C39" s="719">
        <v>3.5544878048780486</v>
      </c>
      <c r="D39" s="719">
        <v>3.7185853658536585</v>
      </c>
      <c r="E39" s="719">
        <v>14.460439024390244</v>
      </c>
      <c r="F39" s="719">
        <v>6.7524390243902435</v>
      </c>
      <c r="G39" s="719">
        <v>9.6361951219512196</v>
      </c>
      <c r="H39" s="719">
        <v>3.1462439024390245</v>
      </c>
      <c r="I39" s="719">
        <v>12.488243902439024</v>
      </c>
      <c r="J39" s="719">
        <v>1.53</v>
      </c>
      <c r="K39" s="719">
        <v>1.1963887022909276</v>
      </c>
      <c r="L39" s="719">
        <v>16.530390243902438</v>
      </c>
      <c r="M39" s="122"/>
    </row>
    <row r="40" spans="1:13" x14ac:dyDescent="0.2">
      <c r="A40" s="163" t="s">
        <v>139</v>
      </c>
      <c r="B40" s="203">
        <v>66.1077094570079</v>
      </c>
      <c r="C40" s="719">
        <v>5.618943396226415</v>
      </c>
      <c r="D40" s="719">
        <v>1.0387924528301886</v>
      </c>
      <c r="E40" s="719">
        <v>8.4655094339622643</v>
      </c>
      <c r="F40" s="719">
        <v>6.6066415094339623</v>
      </c>
      <c r="G40" s="719">
        <v>9.4281509433962256</v>
      </c>
      <c r="H40" s="719">
        <v>0.80015094339622639</v>
      </c>
      <c r="I40" s="719">
        <v>14.613207547169811</v>
      </c>
      <c r="J40" s="719">
        <v>0.39449056603773586</v>
      </c>
      <c r="K40" s="719">
        <v>1.1963887022909274</v>
      </c>
      <c r="L40" s="719">
        <v>17.945433962264151</v>
      </c>
      <c r="M40" s="122"/>
    </row>
    <row r="41" spans="1:13" x14ac:dyDescent="0.2">
      <c r="A41" s="163" t="s">
        <v>140</v>
      </c>
      <c r="B41" s="224">
        <v>66.1077094570079</v>
      </c>
      <c r="C41" s="720">
        <v>5.618943396226415</v>
      </c>
      <c r="D41" s="720">
        <v>1.0387924528301886</v>
      </c>
      <c r="E41" s="720">
        <v>8.4655094339622643</v>
      </c>
      <c r="F41" s="719">
        <v>6.6066415094339623</v>
      </c>
      <c r="G41" s="719">
        <v>9.4281509433962256</v>
      </c>
      <c r="H41" s="719">
        <v>0.80015094339622639</v>
      </c>
      <c r="I41" s="719">
        <v>14.613207547169811</v>
      </c>
      <c r="J41" s="719">
        <v>0.39449056603773586</v>
      </c>
      <c r="K41" s="719">
        <v>1.1963887022909274</v>
      </c>
      <c r="L41" s="719">
        <v>17.945433962264151</v>
      </c>
      <c r="M41" s="122"/>
    </row>
    <row r="42" spans="1:13" x14ac:dyDescent="0.2">
      <c r="A42" s="76" t="s">
        <v>634</v>
      </c>
      <c r="B42" s="709">
        <v>174.98598216461724</v>
      </c>
      <c r="E42" s="721">
        <v>7.2730731707317071</v>
      </c>
      <c r="F42" s="721">
        <v>21.212878048780489</v>
      </c>
    </row>
    <row r="43" spans="1:13" ht="38.25" x14ac:dyDescent="0.2">
      <c r="E43" s="721">
        <v>6.6577358490566034</v>
      </c>
      <c r="F43" s="721"/>
      <c r="K43" s="769" t="s">
        <v>1012</v>
      </c>
    </row>
    <row r="44" spans="1:13" x14ac:dyDescent="0.2">
      <c r="A44" s="59" t="s">
        <v>596</v>
      </c>
      <c r="B44" s="238" t="s">
        <v>358</v>
      </c>
      <c r="C44" s="238" t="s">
        <v>359</v>
      </c>
      <c r="E44" s="168" t="s">
        <v>141</v>
      </c>
      <c r="F44" s="724">
        <v>434864</v>
      </c>
    </row>
    <row r="45" spans="1:13" x14ac:dyDescent="0.2">
      <c r="A45" s="76" t="s">
        <v>583</v>
      </c>
      <c r="B45" s="239">
        <v>80905</v>
      </c>
      <c r="C45" s="239">
        <v>73687.352803940201</v>
      </c>
      <c r="E45" s="163" t="s">
        <v>139</v>
      </c>
      <c r="F45" s="724">
        <v>118406.81781132075</v>
      </c>
    </row>
    <row r="46" spans="1:13" x14ac:dyDescent="0.2">
      <c r="A46" s="76" t="s">
        <v>169</v>
      </c>
      <c r="B46" s="239">
        <v>1566352</v>
      </c>
      <c r="C46" s="239">
        <v>1496774.968396964</v>
      </c>
      <c r="D46" s="139"/>
      <c r="E46" s="163" t="s">
        <v>140</v>
      </c>
      <c r="F46" s="724">
        <v>81299.182188679246</v>
      </c>
    </row>
    <row r="47" spans="1:13" x14ac:dyDescent="0.2">
      <c r="A47" s="76" t="s">
        <v>221</v>
      </c>
      <c r="B47" s="239">
        <v>883899</v>
      </c>
      <c r="C47" s="239">
        <v>875927.15030535473</v>
      </c>
    </row>
    <row r="48" spans="1:13" x14ac:dyDescent="0.2">
      <c r="A48" s="76" t="s">
        <v>584</v>
      </c>
      <c r="B48" s="239">
        <v>99452</v>
      </c>
      <c r="C48" s="239">
        <v>93267.528493740989</v>
      </c>
      <c r="F48" s="721">
        <v>15.072150943396228</v>
      </c>
      <c r="G48" s="142"/>
    </row>
    <row r="49" spans="1:15" ht="13.5" thickBot="1" x14ac:dyDescent="0.25">
      <c r="B49" s="240">
        <v>2630608</v>
      </c>
      <c r="C49" s="240">
        <v>2539657</v>
      </c>
    </row>
    <row r="50" spans="1:15" ht="13.5" thickTop="1" x14ac:dyDescent="0.2"/>
    <row r="51" spans="1:15" x14ac:dyDescent="0.2">
      <c r="A51" s="76" t="s">
        <v>597</v>
      </c>
      <c r="B51" s="139">
        <v>2450251</v>
      </c>
      <c r="C51" s="139">
        <v>2372702.1187023185</v>
      </c>
      <c r="D51" s="139"/>
    </row>
    <row r="52" spans="1:15" x14ac:dyDescent="0.2">
      <c r="A52" s="76" t="s">
        <v>253</v>
      </c>
      <c r="B52" s="139">
        <v>0</v>
      </c>
      <c r="C52" s="139">
        <v>0</v>
      </c>
    </row>
    <row r="54" spans="1:15" x14ac:dyDescent="0.2">
      <c r="A54" s="76" t="s">
        <v>965</v>
      </c>
      <c r="B54" s="154" t="s">
        <v>966</v>
      </c>
    </row>
    <row r="55" spans="1:15" s="61" customFormat="1" x14ac:dyDescent="0.2">
      <c r="A55" s="61" t="s">
        <v>169</v>
      </c>
      <c r="B55" s="709">
        <v>1270</v>
      </c>
      <c r="C55" s="710">
        <v>4514.1995121951213</v>
      </c>
      <c r="D55" s="710">
        <v>4722.6034146341462</v>
      </c>
      <c r="E55" s="710">
        <v>18364.75756097561</v>
      </c>
      <c r="F55" s="710">
        <v>8575.5975609756097</v>
      </c>
      <c r="G55" s="710">
        <v>12237.96780487805</v>
      </c>
      <c r="H55" s="710">
        <v>3995.7297560975612</v>
      </c>
      <c r="I55" s="710">
        <v>15860.06975609756</v>
      </c>
      <c r="J55" s="710">
        <v>1943.1000000000001</v>
      </c>
      <c r="K55" s="710">
        <v>1519.4136519094782</v>
      </c>
      <c r="L55" s="710">
        <v>20993.595609756096</v>
      </c>
      <c r="M55" s="61">
        <v>92727.034627519242</v>
      </c>
    </row>
    <row r="56" spans="1:15" s="61" customFormat="1" x14ac:dyDescent="0.2">
      <c r="A56" s="61" t="s">
        <v>967</v>
      </c>
      <c r="B56" s="709">
        <v>4029</v>
      </c>
      <c r="C56" s="710">
        <v>22638.722943396227</v>
      </c>
      <c r="D56" s="710">
        <v>4185.2947924528298</v>
      </c>
      <c r="E56" s="710">
        <v>34107.537509433962</v>
      </c>
      <c r="F56" s="763">
        <v>26618.158641509435</v>
      </c>
      <c r="G56" s="710">
        <v>37986.02015094339</v>
      </c>
      <c r="H56" s="710">
        <v>3223.808150943396</v>
      </c>
      <c r="I56" s="710">
        <v>58876.613207547169</v>
      </c>
      <c r="J56" s="710">
        <v>1589.4024905660378</v>
      </c>
      <c r="K56" s="710">
        <v>4820.2500815301464</v>
      </c>
      <c r="L56" s="710">
        <v>72302.153433962259</v>
      </c>
      <c r="M56" s="61">
        <v>266347.96140228485</v>
      </c>
    </row>
    <row r="57" spans="1:15" s="61" customFormat="1" x14ac:dyDescent="0.2">
      <c r="A57" s="61" t="s">
        <v>968</v>
      </c>
      <c r="B57" s="709">
        <v>2714</v>
      </c>
      <c r="C57" s="710">
        <v>15249.81237735849</v>
      </c>
      <c r="D57" s="710">
        <v>2819.2827169811321</v>
      </c>
      <c r="E57" s="710">
        <v>22975.392603773584</v>
      </c>
      <c r="F57" s="763">
        <v>17930.425056603774</v>
      </c>
      <c r="G57" s="710">
        <v>25588.001660377355</v>
      </c>
      <c r="H57" s="710">
        <v>2171.6096603773585</v>
      </c>
      <c r="I57" s="710">
        <v>39660.245283018863</v>
      </c>
      <c r="J57" s="710">
        <v>1070.6473962264151</v>
      </c>
      <c r="K57" s="710">
        <v>3246.9989380175771</v>
      </c>
      <c r="L57" s="710">
        <v>48703.907773584906</v>
      </c>
      <c r="M57" s="61">
        <v>179416.32346631947</v>
      </c>
    </row>
    <row r="58" spans="1:15" s="61" customFormat="1" x14ac:dyDescent="0.2">
      <c r="A58" s="713" t="s">
        <v>970</v>
      </c>
      <c r="B58" s="711">
        <v>8013</v>
      </c>
      <c r="C58" s="712">
        <v>42402.734832949842</v>
      </c>
      <c r="D58" s="712">
        <v>11727.180924068107</v>
      </c>
      <c r="E58" s="712">
        <v>75447.687674183151</v>
      </c>
      <c r="F58" s="712">
        <v>53124.181259088822</v>
      </c>
      <c r="G58" s="712">
        <v>75811.989616198785</v>
      </c>
      <c r="H58" s="712">
        <v>9391.1475674183166</v>
      </c>
      <c r="I58" s="712">
        <v>114396.92824666359</v>
      </c>
      <c r="J58" s="712">
        <v>4603.1498867924529</v>
      </c>
      <c r="K58" s="712">
        <v>9586.6626714572012</v>
      </c>
      <c r="L58" s="712">
        <v>141999.65681730327</v>
      </c>
      <c r="M58" s="712">
        <v>538491.31949612359</v>
      </c>
    </row>
    <row r="59" spans="1:15" s="61" customFormat="1" x14ac:dyDescent="0.2">
      <c r="B59" s="709"/>
      <c r="C59" s="710"/>
      <c r="D59" s="710"/>
      <c r="E59" s="710"/>
      <c r="F59" s="710"/>
      <c r="G59" s="710"/>
      <c r="H59" s="710"/>
      <c r="I59" s="710"/>
      <c r="J59" s="710"/>
      <c r="K59" s="710"/>
      <c r="L59" s="710"/>
    </row>
    <row r="60" spans="1:15" s="61" customFormat="1" ht="13.5" thickBot="1" x14ac:dyDescent="0.25">
      <c r="A60" s="714" t="s">
        <v>969</v>
      </c>
      <c r="B60" s="715">
        <v>1669947.5780262596</v>
      </c>
      <c r="C60" s="716">
        <v>104915.26516705015</v>
      </c>
      <c r="D60" s="716">
        <v>78267.819075931897</v>
      </c>
      <c r="E60" s="716">
        <v>333159.31232581678</v>
      </c>
      <c r="F60" s="731">
        <v>8575.5975609756097</v>
      </c>
      <c r="G60" s="716">
        <v>246653.01038380121</v>
      </c>
      <c r="H60" s="716">
        <v>65708.852432581683</v>
      </c>
      <c r="I60" s="716">
        <v>335237.07175333641</v>
      </c>
      <c r="J60" s="716">
        <v>31988.850113207547</v>
      </c>
      <c r="K60" s="716">
        <v>30791.456030861602</v>
      </c>
      <c r="L60" s="716">
        <v>434650.34318269673</v>
      </c>
      <c r="M60" s="716">
        <v>1834210.7992061949</v>
      </c>
    </row>
    <row r="61" spans="1:15" ht="13.5" thickTop="1" x14ac:dyDescent="0.2"/>
    <row r="62" spans="1:15" x14ac:dyDescent="0.2">
      <c r="A62" s="76" t="s">
        <v>169</v>
      </c>
      <c r="B62" s="762">
        <v>19230</v>
      </c>
      <c r="C62" s="726">
        <v>68352.800487804881</v>
      </c>
      <c r="D62" s="726">
        <v>71508.396585365859</v>
      </c>
      <c r="E62" s="718">
        <v>278074.24243902438</v>
      </c>
      <c r="F62" s="718">
        <v>129849.40243902439</v>
      </c>
      <c r="G62" s="718">
        <v>185304.03219512195</v>
      </c>
      <c r="H62" s="718">
        <v>60502.270243902436</v>
      </c>
      <c r="I62" s="718">
        <v>240148.93024390243</v>
      </c>
      <c r="J62" s="718">
        <v>29421.9</v>
      </c>
      <c r="K62" s="718">
        <v>23006.554745054538</v>
      </c>
      <c r="L62" s="718">
        <v>317879.40439024393</v>
      </c>
      <c r="M62" s="710">
        <v>1404047.9337694449</v>
      </c>
    </row>
    <row r="63" spans="1:15" x14ac:dyDescent="0.2">
      <c r="A63" s="76" t="s">
        <v>221</v>
      </c>
      <c r="B63" s="762">
        <v>6507</v>
      </c>
      <c r="C63" s="710">
        <v>36562.464679245284</v>
      </c>
      <c r="D63" s="710">
        <v>6759.4224905660376</v>
      </c>
      <c r="E63" s="710">
        <v>55085.069886792466</v>
      </c>
      <c r="F63" s="763">
        <v>0</v>
      </c>
      <c r="G63" s="710">
        <v>61348.978188679248</v>
      </c>
      <c r="H63" s="710">
        <v>5206.5821886792455</v>
      </c>
      <c r="I63" s="710">
        <v>95088.141509433975</v>
      </c>
      <c r="J63" s="710">
        <v>2566.9501132075466</v>
      </c>
      <c r="K63" s="710">
        <v>7784.9012858070655</v>
      </c>
      <c r="L63" s="710">
        <v>116770.93879245283</v>
      </c>
      <c r="M63" s="710">
        <v>387173.44913486368</v>
      </c>
    </row>
    <row r="64" spans="1:15" x14ac:dyDescent="0.2">
      <c r="C64" s="717">
        <v>104915.26516705017</v>
      </c>
      <c r="D64" s="717">
        <v>78267.819075931897</v>
      </c>
      <c r="E64" s="717">
        <v>333159.31232581683</v>
      </c>
      <c r="F64" s="717">
        <v>129849.40243902439</v>
      </c>
      <c r="G64" s="717">
        <v>246653.01038380119</v>
      </c>
      <c r="H64" s="717">
        <v>65708.852432581683</v>
      </c>
      <c r="I64" s="717">
        <v>335237.07175333641</v>
      </c>
      <c r="J64" s="717">
        <v>31988.850113207547</v>
      </c>
      <c r="K64" s="717">
        <v>30791.456030861606</v>
      </c>
      <c r="L64" s="717">
        <v>434650.34318269673</v>
      </c>
      <c r="M64" s="717">
        <v>1791221.3829043086</v>
      </c>
      <c r="N64" s="61">
        <v>-42989.416301886318</v>
      </c>
      <c r="O64" s="76" t="s">
        <v>1016</v>
      </c>
    </row>
    <row r="67" spans="2:7" x14ac:dyDescent="0.2">
      <c r="D67" s="139"/>
      <c r="F67" s="725">
        <v>407923.6448780488</v>
      </c>
    </row>
    <row r="68" spans="2:7" x14ac:dyDescent="0.2">
      <c r="D68" s="726">
        <v>139861.19707317074</v>
      </c>
      <c r="F68" s="725">
        <v>55085.069886792466</v>
      </c>
    </row>
    <row r="69" spans="2:7" x14ac:dyDescent="0.2">
      <c r="D69" s="726">
        <v>43321.887169811322</v>
      </c>
    </row>
    <row r="70" spans="2:7" x14ac:dyDescent="0.2">
      <c r="D70" s="719"/>
      <c r="G70" s="721"/>
    </row>
    <row r="71" spans="2:7" x14ac:dyDescent="0.2">
      <c r="B71" s="709">
        <v>59.501067947573937</v>
      </c>
      <c r="D71" s="721"/>
      <c r="F71" s="710"/>
    </row>
    <row r="72" spans="2:7" x14ac:dyDescent="0.2">
      <c r="D72" s="710"/>
    </row>
  </sheetData>
  <sheetProtection password="EF5C" sheet="1" objects="1" scenarios="1"/>
  <phoneticPr fontId="2" type="noConversion"/>
  <pageMargins left="0.75" right="0.75" top="0.6" bottom="1" header="0.27" footer="0.5"/>
  <pageSetup paperSize="8" scale="63" orientation="landscape" r:id="rId1"/>
  <headerFooter alignWithMargins="0">
    <oddHeader>&amp;A</oddHeader>
    <oddFooter>&amp;Z&amp;F</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2:H8"/>
  <sheetViews>
    <sheetView workbookViewId="0">
      <selection sqref="A1:XFD1048576"/>
    </sheetView>
  </sheetViews>
  <sheetFormatPr defaultRowHeight="12.75" x14ac:dyDescent="0.2"/>
  <cols>
    <col min="2" max="2" width="55.7109375" bestFit="1" customWidth="1"/>
    <col min="3" max="3" width="25" bestFit="1" customWidth="1"/>
    <col min="6" max="6" width="19.140625" style="729" customWidth="1"/>
  </cols>
  <sheetData>
    <row r="2" spans="2:8" x14ac:dyDescent="0.2">
      <c r="D2" t="s">
        <v>971</v>
      </c>
      <c r="E2" t="s">
        <v>972</v>
      </c>
      <c r="H2" s="741" t="s">
        <v>1021</v>
      </c>
    </row>
    <row r="3" spans="2:8" x14ac:dyDescent="0.2">
      <c r="B3" s="1356" t="s">
        <v>105</v>
      </c>
      <c r="C3" s="163" t="s">
        <v>141</v>
      </c>
      <c r="D3">
        <v>2446.6118278723425</v>
      </c>
      <c r="E3" s="58">
        <v>73.013413092534819</v>
      </c>
      <c r="F3" s="729">
        <v>2519.6252409648773</v>
      </c>
      <c r="H3" s="58">
        <v>73.013413092534819</v>
      </c>
    </row>
    <row r="4" spans="2:8" x14ac:dyDescent="0.2">
      <c r="B4" s="1368"/>
      <c r="C4" s="163" t="s">
        <v>139</v>
      </c>
      <c r="D4">
        <v>3457.5144409338454</v>
      </c>
      <c r="E4" s="58">
        <v>66.1077094570079</v>
      </c>
      <c r="F4" s="729">
        <v>3523.6221503908532</v>
      </c>
      <c r="H4" s="141">
        <v>59.501067947573958</v>
      </c>
    </row>
    <row r="5" spans="2:8" x14ac:dyDescent="0.2">
      <c r="B5" s="1369"/>
      <c r="C5" s="163" t="s">
        <v>140</v>
      </c>
      <c r="D5">
        <v>3897.6142760268608</v>
      </c>
      <c r="E5" s="58">
        <v>66.1077094570079</v>
      </c>
      <c r="F5" s="729">
        <v>3963.7219854838686</v>
      </c>
    </row>
    <row r="8" spans="2:8" x14ac:dyDescent="0.2">
      <c r="B8" s="730">
        <v>100714209.44295052</v>
      </c>
    </row>
  </sheetData>
  <sheetProtection password="EF5C" sheet="1" objects="1" scenarios="1"/>
  <mergeCells count="1">
    <mergeCell ref="B3:B5"/>
  </mergeCells>
  <phoneticPr fontId="2" type="noConversion"/>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103"/>
  <sheetViews>
    <sheetView workbookViewId="0">
      <pane xSplit="1" ySplit="5" topLeftCell="B71" activePane="bottomRight" state="frozen"/>
      <selection sqref="A1:XFD1048576"/>
      <selection pane="topRight" sqref="A1:XFD1048576"/>
      <selection pane="bottomLeft" sqref="A1:XFD1048576"/>
      <selection pane="bottomRight" sqref="A1:XFD1048576"/>
    </sheetView>
  </sheetViews>
  <sheetFormatPr defaultRowHeight="12.75" x14ac:dyDescent="0.2"/>
  <cols>
    <col min="1" max="1" width="35.42578125" customWidth="1"/>
    <col min="2" max="2" width="16.42578125" style="80" bestFit="1" customWidth="1"/>
    <col min="3" max="3" width="19.85546875" customWidth="1"/>
    <col min="4" max="4" width="11.28515625" style="22" customWidth="1"/>
    <col min="5" max="5" width="12" style="22" customWidth="1"/>
    <col min="6" max="6" width="9.7109375" customWidth="1"/>
    <col min="7" max="7" width="14" customWidth="1"/>
    <col min="8" max="9" width="16.7109375" bestFit="1" customWidth="1"/>
    <col min="10" max="10" width="13.28515625" bestFit="1" customWidth="1"/>
    <col min="11" max="11" width="19.5703125" customWidth="1"/>
    <col min="12" max="12" width="11" customWidth="1"/>
    <col min="13" max="14" width="16.7109375" bestFit="1" customWidth="1"/>
    <col min="15" max="15" width="13.7109375" customWidth="1"/>
    <col min="16" max="16" width="11.28515625" style="44" customWidth="1"/>
    <col min="17" max="19" width="9.140625" style="44"/>
    <col min="20" max="20" width="11.140625" bestFit="1" customWidth="1"/>
  </cols>
  <sheetData>
    <row r="1" spans="1:19" ht="63.75" x14ac:dyDescent="0.2">
      <c r="D1" s="1389" t="s">
        <v>201</v>
      </c>
      <c r="E1" s="1390"/>
      <c r="F1" s="1391"/>
      <c r="G1" s="132" t="s">
        <v>275</v>
      </c>
      <c r="I1" t="s">
        <v>276</v>
      </c>
      <c r="J1" t="s">
        <v>276</v>
      </c>
      <c r="K1" t="s">
        <v>274</v>
      </c>
      <c r="L1" t="s">
        <v>276</v>
      </c>
      <c r="M1" t="s">
        <v>276</v>
      </c>
      <c r="N1" t="s">
        <v>276</v>
      </c>
      <c r="O1" t="s">
        <v>276</v>
      </c>
      <c r="P1"/>
    </row>
    <row r="2" spans="1:19" s="47" customFormat="1" x14ac:dyDescent="0.2">
      <c r="A2" s="46" t="s">
        <v>176</v>
      </c>
      <c r="B2" s="85">
        <v>104541841</v>
      </c>
      <c r="C2" s="47">
        <v>98919544</v>
      </c>
      <c r="D2" s="65">
        <v>171037</v>
      </c>
      <c r="E2" s="66">
        <v>358458</v>
      </c>
      <c r="F2" s="67">
        <v>487719</v>
      </c>
      <c r="G2" s="66">
        <v>-487719</v>
      </c>
      <c r="H2" s="47">
        <v>870432</v>
      </c>
      <c r="I2" s="47">
        <v>1218924</v>
      </c>
      <c r="K2" s="47">
        <v>363630</v>
      </c>
      <c r="L2" s="47">
        <v>1284364</v>
      </c>
      <c r="M2" s="47">
        <v>848079</v>
      </c>
      <c r="N2" s="47">
        <v>0</v>
      </c>
      <c r="O2" s="47">
        <v>85881</v>
      </c>
      <c r="P2" s="66">
        <v>421492</v>
      </c>
      <c r="Q2" s="66"/>
      <c r="R2" s="66"/>
      <c r="S2" s="66"/>
    </row>
    <row r="3" spans="1:19" s="16" customFormat="1" ht="38.25" x14ac:dyDescent="0.2">
      <c r="A3" s="3" t="s">
        <v>151</v>
      </c>
      <c r="B3" s="86" t="s">
        <v>152</v>
      </c>
      <c r="C3" s="24" t="s">
        <v>175</v>
      </c>
      <c r="D3" s="70" t="s">
        <v>147</v>
      </c>
      <c r="E3" s="68" t="s">
        <v>148</v>
      </c>
      <c r="F3" s="40" t="s">
        <v>149</v>
      </c>
      <c r="G3" s="40" t="s">
        <v>149</v>
      </c>
      <c r="H3" s="17" t="s">
        <v>172</v>
      </c>
      <c r="I3" s="17" t="s">
        <v>200</v>
      </c>
      <c r="J3" s="17" t="s">
        <v>200</v>
      </c>
      <c r="K3" s="136" t="s">
        <v>638</v>
      </c>
      <c r="L3" s="135" t="s">
        <v>277</v>
      </c>
      <c r="M3" s="136" t="s">
        <v>207</v>
      </c>
      <c r="N3" s="136" t="s">
        <v>209</v>
      </c>
      <c r="O3" s="136" t="s">
        <v>210</v>
      </c>
      <c r="P3" s="135" t="s">
        <v>279</v>
      </c>
      <c r="Q3" s="82" t="s">
        <v>1015</v>
      </c>
      <c r="R3" s="82"/>
      <c r="S3" s="82"/>
    </row>
    <row r="4" spans="1:19" s="16" customFormat="1" ht="63.75" x14ac:dyDescent="0.2">
      <c r="A4" s="107" t="s">
        <v>230</v>
      </c>
      <c r="B4" s="108">
        <v>145452</v>
      </c>
      <c r="C4" s="45"/>
      <c r="D4" s="39"/>
      <c r="E4" s="32"/>
      <c r="F4" s="40"/>
      <c r="G4" s="33"/>
      <c r="I4" s="105">
        <v>0</v>
      </c>
      <c r="J4" s="106" t="s">
        <v>203</v>
      </c>
      <c r="K4" s="47">
        <v>145452</v>
      </c>
      <c r="L4" s="16" t="s">
        <v>278</v>
      </c>
      <c r="M4" s="16" t="s">
        <v>206</v>
      </c>
      <c r="O4" s="16" t="s">
        <v>211</v>
      </c>
      <c r="P4" s="82"/>
      <c r="Q4" s="82" t="s">
        <v>273</v>
      </c>
      <c r="R4" s="82"/>
      <c r="S4" s="82"/>
    </row>
    <row r="5" spans="1:19" s="33" customFormat="1" x14ac:dyDescent="0.2">
      <c r="A5" s="31"/>
      <c r="B5" s="87">
        <v>0</v>
      </c>
      <c r="C5" s="32"/>
      <c r="D5" s="39"/>
      <c r="E5" s="32"/>
      <c r="F5" s="40"/>
    </row>
    <row r="6" spans="1:19" x14ac:dyDescent="0.2">
      <c r="A6" s="29" t="s">
        <v>141</v>
      </c>
      <c r="B6" s="87">
        <v>52351779.569568597</v>
      </c>
      <c r="C6" s="30">
        <v>51787086</v>
      </c>
      <c r="D6" s="71">
        <v>102376.80242116275</v>
      </c>
      <c r="E6" s="69">
        <v>214560.49768345538</v>
      </c>
      <c r="F6" s="72">
        <v>291931.638768495</v>
      </c>
      <c r="G6" s="69">
        <v>-291931.638768495</v>
      </c>
      <c r="H6" s="41">
        <v>406447</v>
      </c>
      <c r="I6" s="41">
        <v>450034.26946397615</v>
      </c>
      <c r="J6" t="s">
        <v>202</v>
      </c>
      <c r="K6">
        <v>0</v>
      </c>
      <c r="L6" s="22">
        <v>815818</v>
      </c>
      <c r="M6">
        <v>385041</v>
      </c>
      <c r="N6" s="62">
        <v>-2049257</v>
      </c>
      <c r="O6">
        <v>15365</v>
      </c>
      <c r="P6" s="44">
        <v>224308</v>
      </c>
    </row>
    <row r="7" spans="1:19" x14ac:dyDescent="0.2">
      <c r="A7" s="7" t="s">
        <v>139</v>
      </c>
      <c r="B7" s="87">
        <v>27426113.650673885</v>
      </c>
      <c r="C7" s="25">
        <v>27016964</v>
      </c>
      <c r="D7" s="71">
        <v>41523.315319085341</v>
      </c>
      <c r="E7" s="69">
        <v>87024.237811986241</v>
      </c>
      <c r="F7" s="72">
        <v>118405.43171424301</v>
      </c>
      <c r="G7" s="69">
        <v>-118405.43171424301</v>
      </c>
      <c r="H7" s="41">
        <v>280602.09754281462</v>
      </c>
      <c r="I7" s="41"/>
      <c r="K7">
        <v>0</v>
      </c>
      <c r="L7" s="22"/>
      <c r="N7" s="22"/>
    </row>
    <row r="8" spans="1:19" x14ac:dyDescent="0.2">
      <c r="A8" s="7" t="s">
        <v>140</v>
      </c>
      <c r="B8" s="87">
        <v>20382887.049221497</v>
      </c>
      <c r="C8" s="26">
        <v>20115494</v>
      </c>
      <c r="D8" s="71">
        <v>27136.882259751907</v>
      </c>
      <c r="E8" s="69">
        <v>56873.264504558356</v>
      </c>
      <c r="F8" s="72">
        <v>77381.92951726199</v>
      </c>
      <c r="G8" s="69">
        <v>-77381.92951726199</v>
      </c>
      <c r="H8" s="41">
        <v>183382.90245718541</v>
      </c>
      <c r="I8" s="41"/>
      <c r="K8">
        <v>0</v>
      </c>
      <c r="L8" s="22"/>
      <c r="N8" s="22"/>
    </row>
    <row r="9" spans="1:19" ht="13.5" thickBot="1" x14ac:dyDescent="0.25">
      <c r="A9" s="7" t="s">
        <v>204</v>
      </c>
      <c r="B9" s="87">
        <v>4032921.3300717534</v>
      </c>
      <c r="C9" s="26">
        <v>0</v>
      </c>
      <c r="D9" s="73">
        <v>0</v>
      </c>
      <c r="E9" s="74">
        <v>0</v>
      </c>
      <c r="F9" s="75">
        <v>0</v>
      </c>
      <c r="G9" s="69">
        <v>0</v>
      </c>
      <c r="H9" s="41">
        <v>0</v>
      </c>
      <c r="I9" s="41">
        <v>566202.33007175336</v>
      </c>
      <c r="J9" t="s">
        <v>202</v>
      </c>
      <c r="K9" s="42">
        <v>218178</v>
      </c>
      <c r="L9" s="22">
        <v>468546</v>
      </c>
      <c r="M9">
        <v>463038</v>
      </c>
      <c r="N9" s="62">
        <v>2049257</v>
      </c>
      <c r="O9">
        <v>70516</v>
      </c>
      <c r="P9" s="44">
        <v>197184</v>
      </c>
    </row>
    <row r="10" spans="1:19" x14ac:dyDescent="0.2">
      <c r="A10" s="59" t="s">
        <v>174</v>
      </c>
      <c r="B10" s="87">
        <v>104339153.59953573</v>
      </c>
      <c r="C10" s="27">
        <v>98919544</v>
      </c>
      <c r="D10" s="64">
        <v>171037</v>
      </c>
      <c r="E10" s="64">
        <v>358457.99999999994</v>
      </c>
      <c r="F10" s="64">
        <v>487719</v>
      </c>
      <c r="G10" s="64">
        <v>-487719</v>
      </c>
      <c r="H10" s="27">
        <v>870432.00000000012</v>
      </c>
      <c r="I10" s="27">
        <v>1016236.5995357295</v>
      </c>
      <c r="J10" s="27"/>
      <c r="K10" s="27">
        <v>363630</v>
      </c>
      <c r="L10" s="27">
        <v>1284364</v>
      </c>
      <c r="M10" s="27">
        <v>848079</v>
      </c>
      <c r="N10" s="27">
        <v>0</v>
      </c>
      <c r="O10" s="27">
        <v>85881</v>
      </c>
      <c r="P10" s="27">
        <v>421492</v>
      </c>
      <c r="Q10" s="83"/>
      <c r="R10" s="83"/>
    </row>
    <row r="11" spans="1:19" x14ac:dyDescent="0.2">
      <c r="B11" s="90">
        <v>-202687.40046426654</v>
      </c>
      <c r="C11" s="60">
        <v>0</v>
      </c>
      <c r="D11" s="60">
        <v>0</v>
      </c>
      <c r="E11" s="60">
        <v>0</v>
      </c>
      <c r="F11" s="60">
        <v>0</v>
      </c>
      <c r="G11" s="60">
        <v>0</v>
      </c>
      <c r="H11" s="60">
        <v>0</v>
      </c>
      <c r="I11" s="744">
        <v>-202687.4004642705</v>
      </c>
      <c r="J11" s="60"/>
      <c r="K11" s="60">
        <v>0</v>
      </c>
      <c r="L11" s="60">
        <v>0</v>
      </c>
      <c r="M11" s="60">
        <v>0</v>
      </c>
      <c r="N11" s="60">
        <v>0</v>
      </c>
      <c r="O11" s="60">
        <v>0</v>
      </c>
      <c r="P11" s="60">
        <v>0</v>
      </c>
      <c r="Q11" s="84"/>
      <c r="R11" s="84"/>
    </row>
    <row r="12" spans="1:19" x14ac:dyDescent="0.2">
      <c r="A12" s="13" t="s">
        <v>231</v>
      </c>
      <c r="B12" s="90"/>
      <c r="C12" s="4">
        <v>47132458</v>
      </c>
      <c r="I12" s="745" t="s">
        <v>983</v>
      </c>
      <c r="L12" s="22"/>
    </row>
    <row r="13" spans="1:19" x14ac:dyDescent="0.2">
      <c r="A13" s="13"/>
      <c r="B13" s="90"/>
      <c r="F13" s="700"/>
      <c r="G13" s="4"/>
      <c r="L13" s="22"/>
    </row>
    <row r="14" spans="1:19" x14ac:dyDescent="0.2">
      <c r="A14" s="3" t="s">
        <v>153</v>
      </c>
      <c r="B14" s="88"/>
      <c r="C14" s="741" t="s">
        <v>81</v>
      </c>
      <c r="L14" s="22"/>
    </row>
    <row r="15" spans="1:19" x14ac:dyDescent="0.2">
      <c r="A15" s="7" t="s">
        <v>141</v>
      </c>
      <c r="B15" s="88"/>
      <c r="C15" s="746">
        <v>20025</v>
      </c>
      <c r="D15" s="220">
        <v>20025</v>
      </c>
      <c r="E15" s="220">
        <v>20025</v>
      </c>
      <c r="F15" s="220">
        <v>20025</v>
      </c>
      <c r="G15" s="220">
        <v>20025</v>
      </c>
      <c r="H15" s="220">
        <v>20025</v>
      </c>
      <c r="I15" s="220">
        <v>20025</v>
      </c>
      <c r="J15" s="220">
        <v>20025</v>
      </c>
      <c r="K15" s="220">
        <v>20025</v>
      </c>
      <c r="L15" s="220">
        <v>20025</v>
      </c>
      <c r="M15" s="220">
        <v>20025</v>
      </c>
      <c r="N15" s="220">
        <v>20025</v>
      </c>
      <c r="O15" s="220">
        <v>20025</v>
      </c>
      <c r="P15" s="220">
        <v>20025</v>
      </c>
      <c r="Q15" s="53"/>
      <c r="R15" s="53"/>
    </row>
    <row r="16" spans="1:19" x14ac:dyDescent="0.2">
      <c r="A16" s="7" t="s">
        <v>139</v>
      </c>
      <c r="B16" s="88"/>
      <c r="C16" s="746">
        <v>8122</v>
      </c>
      <c r="D16" s="220">
        <v>8122</v>
      </c>
      <c r="E16" s="220">
        <v>8122</v>
      </c>
      <c r="F16" s="220">
        <v>8122</v>
      </c>
      <c r="G16" s="220">
        <v>8122</v>
      </c>
      <c r="H16" s="220">
        <v>8122</v>
      </c>
      <c r="I16" s="220">
        <v>8122</v>
      </c>
      <c r="J16" s="220">
        <v>8122</v>
      </c>
      <c r="K16" s="220">
        <v>8122</v>
      </c>
      <c r="L16" s="220">
        <v>8122</v>
      </c>
      <c r="M16" s="220">
        <v>8122</v>
      </c>
      <c r="N16" s="220">
        <v>8122</v>
      </c>
      <c r="O16" s="220">
        <v>8122</v>
      </c>
      <c r="P16" s="220">
        <v>8122</v>
      </c>
      <c r="Q16" s="53"/>
      <c r="R16" s="53"/>
    </row>
    <row r="17" spans="1:20" x14ac:dyDescent="0.2">
      <c r="A17" s="7" t="s">
        <v>140</v>
      </c>
      <c r="B17" s="88"/>
      <c r="C17" s="746">
        <v>5308</v>
      </c>
      <c r="D17" s="220">
        <v>5308</v>
      </c>
      <c r="E17" s="220">
        <v>5308</v>
      </c>
      <c r="F17" s="220">
        <v>5308</v>
      </c>
      <c r="G17" s="220">
        <v>5308</v>
      </c>
      <c r="H17" s="220">
        <v>5308</v>
      </c>
      <c r="I17" s="220">
        <v>5308</v>
      </c>
      <c r="J17" s="220">
        <v>5308</v>
      </c>
      <c r="K17" s="220">
        <v>5308</v>
      </c>
      <c r="L17" s="220">
        <v>5308</v>
      </c>
      <c r="M17" s="220">
        <v>5308</v>
      </c>
      <c r="N17" s="220">
        <v>5308</v>
      </c>
      <c r="O17" s="220">
        <v>5308</v>
      </c>
      <c r="P17" s="220">
        <v>5308</v>
      </c>
      <c r="Q17" s="53"/>
      <c r="R17" s="53"/>
    </row>
    <row r="18" spans="1:20" x14ac:dyDescent="0.2">
      <c r="A18" s="76" t="s">
        <v>205</v>
      </c>
      <c r="B18" s="88"/>
      <c r="C18" s="747">
        <v>13430</v>
      </c>
      <c r="D18" s="77">
        <v>13430</v>
      </c>
      <c r="E18" s="77">
        <v>13430</v>
      </c>
      <c r="F18" s="77">
        <v>13430</v>
      </c>
      <c r="G18" s="77">
        <v>13430</v>
      </c>
      <c r="H18" s="77">
        <v>13430</v>
      </c>
      <c r="I18" s="77">
        <v>13430</v>
      </c>
      <c r="J18" s="77">
        <v>13430</v>
      </c>
      <c r="K18" s="77">
        <v>13430</v>
      </c>
      <c r="L18" s="77">
        <v>13430</v>
      </c>
      <c r="M18" s="77">
        <v>13430</v>
      </c>
      <c r="N18" s="77">
        <v>13430</v>
      </c>
      <c r="O18" s="77">
        <v>13430</v>
      </c>
      <c r="P18" s="77">
        <v>13430</v>
      </c>
      <c r="Q18" s="53"/>
      <c r="R18" s="53"/>
    </row>
    <row r="19" spans="1:20" x14ac:dyDescent="0.2">
      <c r="B19" s="89">
        <v>0</v>
      </c>
      <c r="C19" s="748">
        <v>33455</v>
      </c>
      <c r="D19" s="149">
        <v>33455</v>
      </c>
      <c r="E19" s="149">
        <v>33455</v>
      </c>
      <c r="F19" s="149">
        <v>33455</v>
      </c>
      <c r="G19" s="149">
        <v>33455</v>
      </c>
      <c r="H19" s="149">
        <v>33455</v>
      </c>
      <c r="I19" s="149">
        <v>33455</v>
      </c>
      <c r="J19" s="149">
        <v>33455</v>
      </c>
      <c r="K19" s="149">
        <v>33455</v>
      </c>
      <c r="L19" s="149">
        <v>33455</v>
      </c>
      <c r="M19" s="149">
        <v>33455</v>
      </c>
      <c r="N19" s="149">
        <v>33455</v>
      </c>
      <c r="O19" s="149">
        <v>33455</v>
      </c>
      <c r="P19" s="149">
        <v>33455</v>
      </c>
      <c r="Q19" s="28"/>
      <c r="R19" s="28"/>
    </row>
    <row r="20" spans="1:20" x14ac:dyDescent="0.2">
      <c r="B20" s="88"/>
      <c r="L20" s="22"/>
    </row>
    <row r="21" spans="1:20" x14ac:dyDescent="0.2">
      <c r="A21" s="3" t="s">
        <v>150</v>
      </c>
      <c r="B21" s="88"/>
      <c r="L21" s="22"/>
    </row>
    <row r="22" spans="1:20" x14ac:dyDescent="0.2">
      <c r="A22" s="13"/>
      <c r="B22" s="88"/>
      <c r="C22" t="s">
        <v>171</v>
      </c>
      <c r="L22" s="22"/>
    </row>
    <row r="23" spans="1:20" x14ac:dyDescent="0.2">
      <c r="A23" s="13"/>
      <c r="B23" s="88"/>
      <c r="D23" t="s">
        <v>177</v>
      </c>
      <c r="E23" t="s">
        <v>177</v>
      </c>
      <c r="F23" t="s">
        <v>177</v>
      </c>
      <c r="G23" t="s">
        <v>177</v>
      </c>
      <c r="H23" t="s">
        <v>178</v>
      </c>
      <c r="I23" t="s">
        <v>178</v>
      </c>
      <c r="K23" t="s">
        <v>178</v>
      </c>
      <c r="L23" s="22"/>
      <c r="M23" t="s">
        <v>178</v>
      </c>
      <c r="N23" t="s">
        <v>178</v>
      </c>
      <c r="O23" t="s">
        <v>177</v>
      </c>
    </row>
    <row r="24" spans="1:20" x14ac:dyDescent="0.2">
      <c r="A24" s="7" t="s">
        <v>141</v>
      </c>
      <c r="B24" s="705">
        <v>2446.6118278723425</v>
      </c>
      <c r="C24" s="706">
        <v>2586.121647940075</v>
      </c>
      <c r="D24" s="57">
        <v>5.1124495591092511</v>
      </c>
      <c r="E24" s="57">
        <v>10.714631594679419</v>
      </c>
      <c r="F24" s="58">
        <v>14.57835898968764</v>
      </c>
      <c r="G24" s="58">
        <v>-14.57835898968764</v>
      </c>
      <c r="H24" s="104">
        <v>20.29697877652934</v>
      </c>
      <c r="I24" s="58">
        <v>22.473621446390819</v>
      </c>
      <c r="J24" s="58"/>
      <c r="K24" s="58">
        <v>0</v>
      </c>
      <c r="L24" s="58"/>
      <c r="M24" s="58">
        <v>19.228014981273407</v>
      </c>
      <c r="N24" s="58">
        <v>-102.33493133583021</v>
      </c>
      <c r="O24" s="58">
        <v>2.5670602301599161</v>
      </c>
      <c r="P24" s="58">
        <v>11.201398252184768</v>
      </c>
      <c r="T24" s="770"/>
    </row>
    <row r="25" spans="1:20" x14ac:dyDescent="0.2">
      <c r="A25" s="7" t="s">
        <v>139</v>
      </c>
      <c r="B25" s="705">
        <v>3457.5144409338454</v>
      </c>
      <c r="C25" s="25">
        <v>3326.3930066486087</v>
      </c>
      <c r="D25" s="57">
        <v>5.1124495591092511</v>
      </c>
      <c r="E25" s="57">
        <v>10.714631594679419</v>
      </c>
      <c r="F25" s="58">
        <v>14.57835898968764</v>
      </c>
      <c r="G25" s="58">
        <v>-14.57835898968764</v>
      </c>
      <c r="H25" s="104">
        <v>34.548399106478037</v>
      </c>
      <c r="I25" s="61">
        <v>42.159518248082904</v>
      </c>
      <c r="K25" s="61">
        <v>16.245569620253164</v>
      </c>
      <c r="L25" s="61"/>
      <c r="M25" s="58">
        <v>34.477885331347728</v>
      </c>
      <c r="N25" s="58">
        <v>152.58801191362622</v>
      </c>
      <c r="O25" s="58">
        <v>2.5670602301599161</v>
      </c>
      <c r="P25" s="58">
        <v>14.68235294117647</v>
      </c>
    </row>
    <row r="26" spans="1:20" x14ac:dyDescent="0.2">
      <c r="A26" s="7" t="s">
        <v>140</v>
      </c>
      <c r="B26" s="705">
        <v>3897.6142760268608</v>
      </c>
      <c r="C26" s="26">
        <v>3789.655990957046</v>
      </c>
      <c r="D26" s="57">
        <v>5.1124495591092511</v>
      </c>
      <c r="E26" s="57">
        <v>10.714631594679419</v>
      </c>
      <c r="F26" s="58">
        <v>14.57835898968764</v>
      </c>
      <c r="G26" s="58">
        <v>-14.57835898968764</v>
      </c>
      <c r="H26" s="104">
        <v>34.548399106478037</v>
      </c>
      <c r="I26" s="61">
        <v>42.159518248082904</v>
      </c>
      <c r="K26" s="61">
        <v>16.245569620253164</v>
      </c>
      <c r="L26" s="61"/>
      <c r="M26" s="58">
        <v>34.477885331347728</v>
      </c>
      <c r="N26" s="58">
        <v>152.58801191362622</v>
      </c>
      <c r="O26" s="58">
        <v>2.5670602301599161</v>
      </c>
      <c r="P26" s="58">
        <v>14.68235294117647</v>
      </c>
    </row>
    <row r="27" spans="1:20" x14ac:dyDescent="0.2">
      <c r="A27" s="707">
        <v>2446.61</v>
      </c>
      <c r="B27" s="708" t="s">
        <v>951</v>
      </c>
      <c r="C27" s="28"/>
      <c r="D27" s="28"/>
      <c r="E27" s="28"/>
      <c r="F27" s="28"/>
      <c r="G27" s="28"/>
      <c r="H27" s="103"/>
      <c r="I27" s="28"/>
      <c r="L27" s="22"/>
    </row>
    <row r="28" spans="1:20" x14ac:dyDescent="0.2">
      <c r="A28" s="707">
        <v>3457.51</v>
      </c>
      <c r="B28" s="708" t="s">
        <v>951</v>
      </c>
      <c r="C28" s="69">
        <v>51787086</v>
      </c>
      <c r="E28" s="57"/>
      <c r="O28" s="5"/>
      <c r="T28" s="770"/>
    </row>
    <row r="29" spans="1:20" x14ac:dyDescent="0.2">
      <c r="A29" s="707">
        <v>3897.61</v>
      </c>
      <c r="B29" s="708" t="s">
        <v>951</v>
      </c>
      <c r="C29" s="4">
        <v>0</v>
      </c>
      <c r="H29" s="5"/>
      <c r="T29" s="770"/>
    </row>
    <row r="30" spans="1:20" x14ac:dyDescent="0.2">
      <c r="A30" s="3" t="s">
        <v>179</v>
      </c>
      <c r="B30" s="92" t="s">
        <v>156</v>
      </c>
      <c r="C30" s="63" t="s">
        <v>180</v>
      </c>
      <c r="T30" s="770"/>
    </row>
    <row r="31" spans="1:20" x14ac:dyDescent="0.2">
      <c r="A31" t="s">
        <v>184</v>
      </c>
      <c r="B31" s="93">
        <v>5923744</v>
      </c>
      <c r="C31">
        <v>1462740</v>
      </c>
    </row>
    <row r="32" spans="1:20" x14ac:dyDescent="0.2">
      <c r="A32" t="s">
        <v>212</v>
      </c>
      <c r="B32" s="93">
        <v>525700</v>
      </c>
      <c r="C32">
        <v>67948</v>
      </c>
      <c r="D32" s="22" t="s">
        <v>224</v>
      </c>
    </row>
    <row r="33" spans="1:7" x14ac:dyDescent="0.2">
      <c r="A33" t="s">
        <v>213</v>
      </c>
      <c r="B33" s="93">
        <v>108416</v>
      </c>
      <c r="C33">
        <v>1620</v>
      </c>
      <c r="D33" s="22" t="s">
        <v>225</v>
      </c>
    </row>
    <row r="34" spans="1:7" x14ac:dyDescent="0.2">
      <c r="A34" t="s">
        <v>182</v>
      </c>
      <c r="B34" s="93">
        <v>380000</v>
      </c>
      <c r="C34" t="s">
        <v>183</v>
      </c>
      <c r="D34" s="22" t="s">
        <v>229</v>
      </c>
    </row>
    <row r="35" spans="1:7" x14ac:dyDescent="0.2">
      <c r="A35" t="s">
        <v>214</v>
      </c>
      <c r="B35" s="93">
        <v>69252</v>
      </c>
      <c r="C35" s="4">
        <v>8951</v>
      </c>
      <c r="D35" s="22" t="s">
        <v>226</v>
      </c>
      <c r="F35" s="42"/>
      <c r="G35" s="42"/>
    </row>
    <row r="36" spans="1:7" x14ac:dyDescent="0.2">
      <c r="A36" t="s">
        <v>215</v>
      </c>
      <c r="B36" s="93">
        <v>32073</v>
      </c>
      <c r="C36" s="4"/>
      <c r="D36" s="22" t="s">
        <v>227</v>
      </c>
    </row>
    <row r="37" spans="1:7" x14ac:dyDescent="0.2">
      <c r="A37" t="s">
        <v>216</v>
      </c>
      <c r="B37" s="93">
        <v>8841</v>
      </c>
      <c r="C37" s="4"/>
      <c r="D37" s="22" t="s">
        <v>228</v>
      </c>
    </row>
    <row r="38" spans="1:7" x14ac:dyDescent="0.2">
      <c r="A38" t="s">
        <v>217</v>
      </c>
      <c r="B38" s="93">
        <v>241369</v>
      </c>
      <c r="C38" s="4"/>
      <c r="D38" s="81" t="s">
        <v>289</v>
      </c>
      <c r="E38" s="81"/>
      <c r="F38" s="81"/>
      <c r="G38" s="81"/>
    </row>
    <row r="39" spans="1:7" x14ac:dyDescent="0.2">
      <c r="A39" t="s">
        <v>218</v>
      </c>
      <c r="B39" s="93">
        <v>-34918</v>
      </c>
      <c r="D39" s="22" t="s">
        <v>227</v>
      </c>
    </row>
    <row r="40" spans="1:7" x14ac:dyDescent="0.2">
      <c r="A40" t="s">
        <v>185</v>
      </c>
      <c r="B40" s="93">
        <v>3204205</v>
      </c>
      <c r="C40">
        <v>937914</v>
      </c>
      <c r="E40" s="57"/>
    </row>
    <row r="41" spans="1:7" x14ac:dyDescent="0.2">
      <c r="A41" t="s">
        <v>186</v>
      </c>
      <c r="B41" s="93">
        <v>190963</v>
      </c>
      <c r="C41">
        <v>24682</v>
      </c>
      <c r="D41" s="22" t="s">
        <v>224</v>
      </c>
    </row>
    <row r="42" spans="1:7" x14ac:dyDescent="0.2">
      <c r="A42" t="s">
        <v>187</v>
      </c>
      <c r="B42" s="93">
        <v>40622</v>
      </c>
      <c r="C42">
        <v>607</v>
      </c>
      <c r="D42" s="22" t="s">
        <v>225</v>
      </c>
    </row>
    <row r="43" spans="1:7" x14ac:dyDescent="0.2">
      <c r="A43" t="s">
        <v>188</v>
      </c>
      <c r="B43" s="93">
        <v>25606</v>
      </c>
      <c r="C43">
        <v>3310</v>
      </c>
      <c r="D43" s="22" t="s">
        <v>226</v>
      </c>
    </row>
    <row r="44" spans="1:7" x14ac:dyDescent="0.2">
      <c r="A44" t="s">
        <v>934</v>
      </c>
      <c r="B44" s="93">
        <v>0</v>
      </c>
      <c r="D44" s="22" t="s">
        <v>227</v>
      </c>
    </row>
    <row r="45" spans="1:7" x14ac:dyDescent="0.2">
      <c r="A45" t="s">
        <v>0</v>
      </c>
      <c r="B45" s="93">
        <v>77520</v>
      </c>
    </row>
    <row r="46" spans="1:7" x14ac:dyDescent="0.2">
      <c r="A46" t="s">
        <v>189</v>
      </c>
      <c r="B46" s="93">
        <v>90744</v>
      </c>
      <c r="D46" s="62" t="s">
        <v>935</v>
      </c>
    </row>
    <row r="47" spans="1:7" x14ac:dyDescent="0.2">
      <c r="A47" t="s">
        <v>190</v>
      </c>
      <c r="B47" s="93">
        <v>-123465</v>
      </c>
      <c r="D47" s="62">
        <v>1356428.9999999998</v>
      </c>
    </row>
    <row r="48" spans="1:7" ht="13.5" thickBot="1" x14ac:dyDescent="0.25">
      <c r="A48" s="3" t="s">
        <v>179</v>
      </c>
      <c r="B48" s="94">
        <v>10760672</v>
      </c>
      <c r="D48" s="703">
        <v>12117101</v>
      </c>
      <c r="E48" s="62"/>
    </row>
    <row r="49" spans="1:5" ht="13.5" thickTop="1" x14ac:dyDescent="0.2">
      <c r="A49" s="13" t="s">
        <v>587</v>
      </c>
      <c r="B49" s="225">
        <v>73687.352803940201</v>
      </c>
      <c r="C49" t="s">
        <v>589</v>
      </c>
      <c r="D49" s="62"/>
    </row>
    <row r="50" spans="1:5" ht="13.5" thickBot="1" x14ac:dyDescent="0.25">
      <c r="A50" s="3"/>
      <c r="B50" s="97">
        <v>10834359.35280394</v>
      </c>
      <c r="D50" s="704"/>
    </row>
    <row r="51" spans="1:5" ht="13.5" thickTop="1" x14ac:dyDescent="0.2"/>
    <row r="52" spans="1:5" x14ac:dyDescent="0.2">
      <c r="A52" s="3" t="s">
        <v>157</v>
      </c>
      <c r="B52" s="63" t="s">
        <v>156</v>
      </c>
    </row>
    <row r="53" spans="1:5" x14ac:dyDescent="0.2">
      <c r="A53" t="s">
        <v>173</v>
      </c>
      <c r="B53" s="79">
        <v>11487604</v>
      </c>
      <c r="C53" s="42"/>
      <c r="D53" s="22" t="s">
        <v>222</v>
      </c>
    </row>
    <row r="54" spans="1:5" x14ac:dyDescent="0.2">
      <c r="A54" t="s">
        <v>155</v>
      </c>
      <c r="B54" s="79">
        <v>3865140</v>
      </c>
      <c r="D54" s="22" t="s">
        <v>222</v>
      </c>
      <c r="E54" s="22" t="s">
        <v>293</v>
      </c>
    </row>
    <row r="55" spans="1:5" x14ac:dyDescent="0.2">
      <c r="A55" t="s">
        <v>192</v>
      </c>
      <c r="B55" s="79">
        <v>962860</v>
      </c>
      <c r="C55" s="42"/>
      <c r="D55" s="22" t="s">
        <v>222</v>
      </c>
      <c r="E55" s="22" t="s">
        <v>293</v>
      </c>
    </row>
    <row r="56" spans="1:5" x14ac:dyDescent="0.2">
      <c r="A56" t="s">
        <v>194</v>
      </c>
      <c r="B56" s="79">
        <v>72078</v>
      </c>
      <c r="D56" s="22" t="s">
        <v>222</v>
      </c>
    </row>
    <row r="57" spans="1:5" x14ac:dyDescent="0.2">
      <c r="A57" t="s">
        <v>195</v>
      </c>
      <c r="B57" s="79">
        <v>374524</v>
      </c>
      <c r="D57" s="22" t="s">
        <v>222</v>
      </c>
      <c r="E57" s="22" t="s">
        <v>293</v>
      </c>
    </row>
    <row r="58" spans="1:5" x14ac:dyDescent="0.2">
      <c r="A58" t="s">
        <v>193</v>
      </c>
      <c r="B58" s="79">
        <v>35305</v>
      </c>
      <c r="D58" s="22" t="s">
        <v>222</v>
      </c>
    </row>
    <row r="59" spans="1:5" x14ac:dyDescent="0.2">
      <c r="A59" t="s">
        <v>197</v>
      </c>
      <c r="B59" s="93">
        <v>0</v>
      </c>
      <c r="C59" t="s">
        <v>181</v>
      </c>
      <c r="D59" s="22" t="s">
        <v>223</v>
      </c>
      <c r="E59" s="22" t="s">
        <v>294</v>
      </c>
    </row>
    <row r="60" spans="1:5" x14ac:dyDescent="0.2">
      <c r="A60" t="s">
        <v>196</v>
      </c>
      <c r="B60" s="93">
        <v>0</v>
      </c>
      <c r="D60" s="22" t="s">
        <v>223</v>
      </c>
      <c r="E60" s="22" t="s">
        <v>295</v>
      </c>
    </row>
    <row r="61" spans="1:5" x14ac:dyDescent="0.2">
      <c r="A61" t="s">
        <v>191</v>
      </c>
      <c r="B61" s="93">
        <v>0</v>
      </c>
      <c r="D61" s="22" t="s">
        <v>223</v>
      </c>
      <c r="E61" s="22" t="s">
        <v>296</v>
      </c>
    </row>
    <row r="62" spans="1:5" x14ac:dyDescent="0.2">
      <c r="A62" t="s">
        <v>962</v>
      </c>
      <c r="B62" s="93">
        <v>611334</v>
      </c>
    </row>
    <row r="63" spans="1:5" x14ac:dyDescent="0.2">
      <c r="A63" s="81" t="s">
        <v>270</v>
      </c>
      <c r="B63" s="126"/>
    </row>
    <row r="64" spans="1:5" x14ac:dyDescent="0.2">
      <c r="A64" s="81" t="s">
        <v>272</v>
      </c>
      <c r="B64" s="126"/>
    </row>
    <row r="65" spans="1:6" x14ac:dyDescent="0.2">
      <c r="A65" s="3" t="s">
        <v>219</v>
      </c>
      <c r="B65" s="94">
        <v>17408845</v>
      </c>
      <c r="C65" s="42">
        <v>5663350</v>
      </c>
      <c r="D65" s="62">
        <v>690088.68490116764</v>
      </c>
    </row>
    <row r="66" spans="1:6" x14ac:dyDescent="0.2">
      <c r="A66" s="13" t="s">
        <v>587</v>
      </c>
      <c r="B66" s="225">
        <v>93267.528493740989</v>
      </c>
      <c r="C66" t="s">
        <v>588</v>
      </c>
    </row>
    <row r="67" spans="1:6" ht="13.5" thickBot="1" x14ac:dyDescent="0.25">
      <c r="A67" s="3"/>
      <c r="B67" s="97">
        <v>17502112.52849374</v>
      </c>
    </row>
    <row r="68" spans="1:6" ht="13.5" thickTop="1" x14ac:dyDescent="0.2">
      <c r="A68" s="3"/>
      <c r="B68" s="95"/>
    </row>
    <row r="69" spans="1:6" x14ac:dyDescent="0.2">
      <c r="A69" t="s">
        <v>158</v>
      </c>
      <c r="B69" s="96">
        <v>-9270000</v>
      </c>
      <c r="C69" t="s">
        <v>163</v>
      </c>
    </row>
    <row r="71" spans="1:6" ht="13.5" thickBot="1" x14ac:dyDescent="0.25">
      <c r="A71" s="3" t="s">
        <v>220</v>
      </c>
      <c r="B71" s="97">
        <v>8138845</v>
      </c>
      <c r="C71" t="s">
        <v>164</v>
      </c>
    </row>
    <row r="72" spans="1:6" ht="13.5" thickTop="1" x14ac:dyDescent="0.2">
      <c r="A72" s="3"/>
      <c r="B72" s="95"/>
    </row>
    <row r="73" spans="1:6" x14ac:dyDescent="0.2">
      <c r="B73" s="21"/>
    </row>
    <row r="74" spans="1:6" x14ac:dyDescent="0.2">
      <c r="A74" s="3"/>
      <c r="B74" s="63" t="s">
        <v>156</v>
      </c>
    </row>
    <row r="75" spans="1:6" x14ac:dyDescent="0.2">
      <c r="A75" s="13" t="s">
        <v>160</v>
      </c>
      <c r="B75" s="98">
        <v>499</v>
      </c>
      <c r="C75" s="13" t="s">
        <v>156</v>
      </c>
    </row>
    <row r="76" spans="1:6" x14ac:dyDescent="0.2">
      <c r="A76" s="13" t="s">
        <v>159</v>
      </c>
      <c r="B76" s="98">
        <v>24</v>
      </c>
      <c r="C76" s="13" t="s">
        <v>156</v>
      </c>
    </row>
    <row r="77" spans="1:6" x14ac:dyDescent="0.2">
      <c r="A77" s="13" t="s">
        <v>198</v>
      </c>
      <c r="B77" s="133">
        <v>17</v>
      </c>
      <c r="C77" s="107" t="s">
        <v>199</v>
      </c>
      <c r="D77" s="134"/>
      <c r="E77" s="134"/>
      <c r="F77" s="134"/>
    </row>
    <row r="78" spans="1:6" x14ac:dyDescent="0.2">
      <c r="A78" s="13" t="s">
        <v>161</v>
      </c>
      <c r="B78" s="133">
        <v>387</v>
      </c>
      <c r="C78" s="107" t="s">
        <v>162</v>
      </c>
      <c r="D78" s="134"/>
      <c r="E78" s="134"/>
      <c r="F78" s="134"/>
    </row>
    <row r="79" spans="1:6" x14ac:dyDescent="0.2">
      <c r="A79" s="127" t="s">
        <v>270</v>
      </c>
      <c r="B79" s="128"/>
      <c r="C79" s="13"/>
    </row>
    <row r="80" spans="1:6" x14ac:dyDescent="0.2">
      <c r="A80" s="127" t="s">
        <v>271</v>
      </c>
      <c r="B80" s="128"/>
      <c r="C80" s="13"/>
    </row>
    <row r="81" spans="1:5" ht="13.5" thickBot="1" x14ac:dyDescent="0.25">
      <c r="A81" s="43" t="s">
        <v>165</v>
      </c>
      <c r="B81" s="99">
        <v>927</v>
      </c>
      <c r="C81" s="13" t="s">
        <v>166</v>
      </c>
    </row>
    <row r="82" spans="1:5" ht="13.5" thickTop="1" x14ac:dyDescent="0.2"/>
    <row r="83" spans="1:5" ht="13.5" thickBot="1" x14ac:dyDescent="0.25"/>
    <row r="84" spans="1:5" x14ac:dyDescent="0.2">
      <c r="A84" s="78" t="s">
        <v>156</v>
      </c>
      <c r="B84" s="100"/>
      <c r="C84" s="48"/>
      <c r="D84" s="49"/>
      <c r="E84" s="50"/>
    </row>
    <row r="85" spans="1:5" x14ac:dyDescent="0.2">
      <c r="A85" s="51"/>
      <c r="B85" s="91" t="s">
        <v>167</v>
      </c>
      <c r="C85" s="28" t="s">
        <v>168</v>
      </c>
      <c r="D85" s="28" t="s">
        <v>169</v>
      </c>
      <c r="E85" s="52"/>
    </row>
    <row r="86" spans="1:5" x14ac:dyDescent="0.2">
      <c r="A86" s="51"/>
      <c r="B86" s="91" t="s">
        <v>170</v>
      </c>
      <c r="C86" s="28" t="s">
        <v>170</v>
      </c>
      <c r="D86" s="28" t="s">
        <v>170</v>
      </c>
      <c r="E86" s="52"/>
    </row>
    <row r="87" spans="1:5" x14ac:dyDescent="0.2">
      <c r="A87" s="51"/>
      <c r="B87" s="101">
        <v>2477</v>
      </c>
      <c r="C87" s="53"/>
      <c r="D87" s="53"/>
      <c r="E87" s="52"/>
    </row>
    <row r="88" spans="1:5" x14ac:dyDescent="0.2">
      <c r="A88" s="51"/>
      <c r="B88" s="101">
        <v>2831</v>
      </c>
      <c r="C88" s="53"/>
      <c r="D88" s="53"/>
      <c r="E88" s="52"/>
    </row>
    <row r="89" spans="1:5" x14ac:dyDescent="0.2">
      <c r="A89" s="51"/>
      <c r="B89" s="101"/>
      <c r="C89" s="53">
        <v>2718</v>
      </c>
      <c r="D89" s="53"/>
      <c r="E89" s="52"/>
    </row>
    <row r="90" spans="1:5" x14ac:dyDescent="0.2">
      <c r="A90" s="51"/>
      <c r="B90" s="101"/>
      <c r="C90" s="53">
        <v>2789</v>
      </c>
      <c r="D90" s="53"/>
      <c r="E90" s="52"/>
    </row>
    <row r="91" spans="1:5" x14ac:dyDescent="0.2">
      <c r="A91" s="51"/>
      <c r="B91" s="101"/>
      <c r="C91" s="53">
        <v>2615</v>
      </c>
      <c r="D91" s="53"/>
      <c r="E91" s="52"/>
    </row>
    <row r="92" spans="1:5" x14ac:dyDescent="0.2">
      <c r="A92" s="51"/>
      <c r="B92" s="101"/>
      <c r="C92" s="53"/>
      <c r="D92" s="53"/>
      <c r="E92" s="52"/>
    </row>
    <row r="93" spans="1:5" x14ac:dyDescent="0.2">
      <c r="A93" s="51"/>
      <c r="B93" s="101"/>
      <c r="C93" s="53"/>
      <c r="D93" s="53"/>
      <c r="E93" s="52"/>
    </row>
    <row r="94" spans="1:5" x14ac:dyDescent="0.2">
      <c r="A94" s="51"/>
      <c r="B94" s="101"/>
      <c r="C94" s="53"/>
      <c r="D94" s="53">
        <v>2705</v>
      </c>
      <c r="E94" s="52"/>
    </row>
    <row r="95" spans="1:5" x14ac:dyDescent="0.2">
      <c r="A95" s="51"/>
      <c r="B95" s="101"/>
      <c r="C95" s="53"/>
      <c r="D95" s="53">
        <v>2703</v>
      </c>
      <c r="E95" s="52"/>
    </row>
    <row r="96" spans="1:5" x14ac:dyDescent="0.2">
      <c r="A96" s="51"/>
      <c r="B96" s="101"/>
      <c r="C96" s="53"/>
      <c r="D96" s="53">
        <v>2754</v>
      </c>
      <c r="E96" s="52"/>
    </row>
    <row r="97" spans="1:5" x14ac:dyDescent="0.2">
      <c r="A97" s="51"/>
      <c r="B97" s="101"/>
      <c r="C97" s="53"/>
      <c r="D97" s="53">
        <v>2904</v>
      </c>
      <c r="E97" s="52"/>
    </row>
    <row r="98" spans="1:5" x14ac:dyDescent="0.2">
      <c r="A98" s="51"/>
      <c r="B98" s="101"/>
      <c r="C98" s="53"/>
      <c r="D98" s="53">
        <v>2902</v>
      </c>
      <c r="E98" s="52"/>
    </row>
    <row r="99" spans="1:5" x14ac:dyDescent="0.2">
      <c r="A99" s="51"/>
      <c r="B99" s="101"/>
      <c r="C99" s="53"/>
      <c r="D99" s="53">
        <v>2984</v>
      </c>
      <c r="E99" s="52"/>
    </row>
    <row r="100" spans="1:5" x14ac:dyDescent="0.2">
      <c r="A100" s="51"/>
      <c r="B100" s="101"/>
      <c r="C100" s="53"/>
      <c r="D100" s="53">
        <v>3073</v>
      </c>
      <c r="E100" s="52"/>
    </row>
    <row r="101" spans="1:5" x14ac:dyDescent="0.2">
      <c r="A101" s="51"/>
      <c r="B101" s="101"/>
      <c r="C101" s="44"/>
      <c r="D101" s="44"/>
      <c r="E101" s="52"/>
    </row>
    <row r="102" spans="1:5" x14ac:dyDescent="0.2">
      <c r="A102" s="51"/>
      <c r="B102" s="101">
        <v>5308</v>
      </c>
      <c r="C102" s="53">
        <v>8122</v>
      </c>
      <c r="D102" s="53">
        <v>20025</v>
      </c>
      <c r="E102" s="52"/>
    </row>
    <row r="103" spans="1:5" ht="13.5" thickBot="1" x14ac:dyDescent="0.25">
      <c r="A103" s="54"/>
      <c r="B103" s="102"/>
      <c r="C103" s="55"/>
      <c r="D103" s="55"/>
      <c r="E103" s="56"/>
    </row>
  </sheetData>
  <sheetProtection password="EF5C" sheet="1" objects="1" scenarios="1"/>
  <mergeCells count="1">
    <mergeCell ref="D1:F1"/>
  </mergeCells>
  <phoneticPr fontId="2" type="noConversion"/>
  <pageMargins left="0.2" right="0.19" top="0.4" bottom="0.47" header="0.17" footer="0.18"/>
  <pageSetup paperSize="9" scale="55" orientation="landscape" r:id="rId1"/>
  <headerFooter alignWithMargins="0">
    <oddHeader>&amp;A</oddHeader>
    <oddFooter>&amp;Z&amp;F</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Z175"/>
  <sheetViews>
    <sheetView zoomScaleNormal="100" workbookViewId="0">
      <pane xSplit="1" ySplit="1" topLeftCell="B20" activePane="bottomRight" state="frozen"/>
      <selection sqref="A1:M1048576"/>
      <selection pane="topRight" sqref="A1:M1048576"/>
      <selection pane="bottomLeft" sqref="A1:M1048576"/>
      <selection pane="bottomRight" sqref="A1:M1048576"/>
    </sheetView>
  </sheetViews>
  <sheetFormatPr defaultRowHeight="12.75" x14ac:dyDescent="0.2"/>
  <cols>
    <col min="1" max="1" width="47.140625" style="13" bestFit="1" customWidth="1"/>
    <col min="2" max="2" width="8.7109375" style="13" customWidth="1"/>
    <col min="3" max="3" width="13.140625" style="1" bestFit="1" customWidth="1"/>
    <col min="4" max="4" width="11.85546875" style="1" customWidth="1"/>
    <col min="5" max="6" width="13.140625" style="1" customWidth="1"/>
    <col min="7" max="7" width="12.140625" style="1" customWidth="1"/>
    <col min="8" max="8" width="12" style="1" customWidth="1"/>
    <col min="9" max="10" width="12.85546875" style="732" bestFit="1" customWidth="1"/>
    <col min="11" max="12" width="13.5703125" style="1" customWidth="1"/>
    <col min="13" max="14" width="11.85546875" style="1" customWidth="1"/>
    <col min="15" max="18" width="12" style="1" customWidth="1"/>
    <col min="19" max="20" width="12.5703125" style="1" customWidth="1"/>
    <col min="21" max="22" width="12.28515625" style="1" customWidth="1"/>
    <col min="23" max="23" width="12.7109375" style="2" bestFit="1" customWidth="1"/>
    <col min="24" max="25" width="13.5703125" style="1" bestFit="1" customWidth="1"/>
    <col min="26" max="27" width="12" style="1" bestFit="1" customWidth="1"/>
    <col min="28" max="28" width="12.5703125" style="1" customWidth="1"/>
    <col min="29" max="29" width="14.42578125" style="1" bestFit="1" customWidth="1"/>
    <col min="30" max="32" width="14.42578125" style="1" customWidth="1"/>
    <col min="33" max="33" width="11.140625" customWidth="1"/>
    <col min="34" max="45" width="9.140625" style="118"/>
    <col min="49" max="49" width="11.7109375" customWidth="1"/>
    <col min="50" max="50" width="11.28515625" customWidth="1"/>
    <col min="51" max="51" width="3.28515625" customWidth="1"/>
  </cols>
  <sheetData>
    <row r="1" spans="1:52" s="38" customFormat="1" ht="47.25" customHeight="1" x14ac:dyDescent="0.2">
      <c r="A1" s="125" t="s">
        <v>260</v>
      </c>
      <c r="B1" s="10" t="s">
        <v>1</v>
      </c>
      <c r="C1" s="737" t="s">
        <v>626</v>
      </c>
      <c r="D1" s="738" t="s">
        <v>627</v>
      </c>
      <c r="E1" s="737" t="s">
        <v>628</v>
      </c>
      <c r="F1" s="737" t="s">
        <v>629</v>
      </c>
      <c r="G1" s="738" t="s">
        <v>630</v>
      </c>
      <c r="H1" s="37"/>
      <c r="I1" s="736" t="s">
        <v>110</v>
      </c>
      <c r="J1" s="736" t="s">
        <v>111</v>
      </c>
      <c r="K1" s="738" t="s">
        <v>115</v>
      </c>
      <c r="L1" s="738" t="s">
        <v>116</v>
      </c>
      <c r="M1" s="738" t="s">
        <v>117</v>
      </c>
      <c r="N1" s="738" t="s">
        <v>118</v>
      </c>
      <c r="O1" s="738" t="s">
        <v>119</v>
      </c>
      <c r="P1" s="738" t="s">
        <v>120</v>
      </c>
      <c r="Q1" s="738" t="s">
        <v>121</v>
      </c>
      <c r="R1" s="738" t="s">
        <v>122</v>
      </c>
      <c r="S1" s="738" t="s">
        <v>123</v>
      </c>
      <c r="T1" s="738" t="s">
        <v>124</v>
      </c>
      <c r="U1" s="738" t="s">
        <v>125</v>
      </c>
      <c r="V1" s="738" t="s">
        <v>126</v>
      </c>
      <c r="W1" s="740" t="s">
        <v>91</v>
      </c>
      <c r="X1" s="37" t="s">
        <v>128</v>
      </c>
      <c r="Y1" s="738" t="s">
        <v>129</v>
      </c>
      <c r="Z1" s="739" t="s">
        <v>127</v>
      </c>
      <c r="AA1" s="739" t="s">
        <v>981</v>
      </c>
      <c r="AB1" s="738" t="s">
        <v>130</v>
      </c>
      <c r="AC1" s="738" t="s">
        <v>131</v>
      </c>
      <c r="AD1" s="252" t="s">
        <v>137</v>
      </c>
      <c r="AE1" s="753" t="s">
        <v>984</v>
      </c>
      <c r="AF1" s="252" t="s">
        <v>138</v>
      </c>
      <c r="AG1" s="37" t="s">
        <v>154</v>
      </c>
      <c r="AH1" s="114" t="s">
        <v>208</v>
      </c>
      <c r="AI1" s="115"/>
      <c r="AJ1" s="115"/>
      <c r="AK1" s="116" t="s">
        <v>109</v>
      </c>
      <c r="AL1" s="116" t="s">
        <v>84</v>
      </c>
      <c r="AM1" s="116" t="s">
        <v>85</v>
      </c>
      <c r="AN1" s="116" t="s">
        <v>86</v>
      </c>
      <c r="AO1" s="116" t="s">
        <v>87</v>
      </c>
      <c r="AP1" s="116" t="s">
        <v>88</v>
      </c>
      <c r="AQ1" s="116" t="s">
        <v>89</v>
      </c>
      <c r="AR1" s="116" t="s">
        <v>90</v>
      </c>
      <c r="AS1" s="115"/>
      <c r="AW1" s="247" t="s">
        <v>631</v>
      </c>
      <c r="AX1" s="247" t="s">
        <v>632</v>
      </c>
      <c r="AY1" s="249"/>
      <c r="AZ1" s="247"/>
    </row>
    <row r="2" spans="1:52" x14ac:dyDescent="0.2">
      <c r="A2" s="13" t="s">
        <v>3</v>
      </c>
      <c r="B2" s="11">
        <v>2400</v>
      </c>
      <c r="C2" s="147">
        <v>299</v>
      </c>
      <c r="D2" s="147">
        <v>299</v>
      </c>
      <c r="E2" s="253"/>
      <c r="F2" s="253"/>
      <c r="G2" s="253"/>
      <c r="H2" s="253"/>
      <c r="I2" s="732">
        <v>200.12070000000003</v>
      </c>
      <c r="J2" s="733"/>
      <c r="K2" s="732">
        <v>5.9999999999999929</v>
      </c>
      <c r="L2" s="253"/>
      <c r="M2" s="732">
        <v>2.9999999999999964</v>
      </c>
      <c r="N2" s="253"/>
      <c r="O2" s="732">
        <v>5.0000000000000142</v>
      </c>
      <c r="P2" s="253"/>
      <c r="Q2" s="732">
        <v>128.00000000000006</v>
      </c>
      <c r="R2" s="253"/>
      <c r="S2" s="732">
        <v>94.999999999999943</v>
      </c>
      <c r="T2" s="253"/>
      <c r="U2" s="732">
        <v>57.000000000000085</v>
      </c>
      <c r="V2" s="253"/>
      <c r="W2" s="732">
        <v>0</v>
      </c>
      <c r="X2" s="253"/>
      <c r="Y2" s="253"/>
      <c r="Z2" s="732">
        <v>35.830578512396798</v>
      </c>
      <c r="AA2" s="253"/>
      <c r="AB2" s="732">
        <v>39.000000000000107</v>
      </c>
      <c r="AC2" s="253"/>
      <c r="AD2" s="147">
        <v>0</v>
      </c>
      <c r="AE2" s="147">
        <v>28341.040000000001</v>
      </c>
      <c r="AF2" s="147">
        <v>0</v>
      </c>
      <c r="AG2" s="147">
        <v>1380649.6404716906</v>
      </c>
      <c r="AH2" s="117">
        <v>1</v>
      </c>
      <c r="AK2" s="148">
        <v>0</v>
      </c>
      <c r="AL2" s="148">
        <v>200.12070000000003</v>
      </c>
      <c r="AM2" s="148">
        <v>5.9999999999999929</v>
      </c>
      <c r="AN2" s="148">
        <v>2.9999999999999964</v>
      </c>
      <c r="AO2" s="148">
        <v>5.0000000000000142</v>
      </c>
      <c r="AP2" s="148">
        <v>128.00000000000006</v>
      </c>
      <c r="AQ2" s="148">
        <v>94.999999999999943</v>
      </c>
      <c r="AR2" s="148">
        <v>57.000000000000085</v>
      </c>
      <c r="AW2" s="42">
        <v>260</v>
      </c>
      <c r="AX2" s="42">
        <v>0</v>
      </c>
      <c r="AY2" s="250"/>
    </row>
    <row r="3" spans="1:52" x14ac:dyDescent="0.2">
      <c r="A3" s="13" t="s">
        <v>4</v>
      </c>
      <c r="B3" s="11">
        <v>2443</v>
      </c>
      <c r="C3" s="147">
        <v>268</v>
      </c>
      <c r="D3" s="147">
        <v>268</v>
      </c>
      <c r="E3" s="253"/>
      <c r="F3" s="253"/>
      <c r="G3" s="253"/>
      <c r="H3" s="253"/>
      <c r="I3" s="732">
        <v>64.454000000000008</v>
      </c>
      <c r="J3" s="733"/>
      <c r="K3" s="732">
        <v>44.999999999999986</v>
      </c>
      <c r="L3" s="253"/>
      <c r="M3" s="732">
        <v>8.9999999999999982</v>
      </c>
      <c r="N3" s="253"/>
      <c r="O3" s="732">
        <v>31.00000000000006</v>
      </c>
      <c r="P3" s="253"/>
      <c r="Q3" s="732">
        <v>45.999999999999972</v>
      </c>
      <c r="R3" s="253"/>
      <c r="S3" s="732">
        <v>29.00000000000011</v>
      </c>
      <c r="T3" s="253"/>
      <c r="U3" s="732">
        <v>4.9999999999999876</v>
      </c>
      <c r="V3" s="253"/>
      <c r="W3" s="732">
        <v>1.0229007633587786</v>
      </c>
      <c r="X3" s="253"/>
      <c r="Y3" s="253"/>
      <c r="Z3" s="732">
        <v>12.112994350282499</v>
      </c>
      <c r="AA3" s="253"/>
      <c r="AB3" s="732">
        <v>11.000000000000004</v>
      </c>
      <c r="AC3" s="253"/>
      <c r="AD3" s="147">
        <v>0</v>
      </c>
      <c r="AE3" s="147">
        <v>13813.28</v>
      </c>
      <c r="AF3" s="147">
        <v>0</v>
      </c>
      <c r="AG3" s="147">
        <v>997536.4496189896</v>
      </c>
      <c r="AH3" s="117">
        <v>1</v>
      </c>
      <c r="AK3" s="148">
        <v>0</v>
      </c>
      <c r="AL3" s="148">
        <v>64.454000000000008</v>
      </c>
      <c r="AM3" s="148">
        <v>44.999999999999986</v>
      </c>
      <c r="AN3" s="148">
        <v>8.9999999999999982</v>
      </c>
      <c r="AO3" s="148">
        <v>31.00000000000006</v>
      </c>
      <c r="AP3" s="148">
        <v>45.999999999999972</v>
      </c>
      <c r="AQ3" s="148">
        <v>29.00000000000011</v>
      </c>
      <c r="AR3" s="148">
        <v>4.9999999999999876</v>
      </c>
      <c r="AW3" s="42">
        <v>259</v>
      </c>
      <c r="AX3" s="42">
        <v>0</v>
      </c>
      <c r="AY3" s="250"/>
    </row>
    <row r="4" spans="1:52" x14ac:dyDescent="0.2">
      <c r="A4" s="13" t="s">
        <v>5</v>
      </c>
      <c r="B4" s="11">
        <v>2442</v>
      </c>
      <c r="C4" s="147">
        <v>306</v>
      </c>
      <c r="D4" s="147">
        <v>306</v>
      </c>
      <c r="E4" s="253"/>
      <c r="F4" s="253"/>
      <c r="G4" s="253"/>
      <c r="H4" s="253"/>
      <c r="I4" s="732">
        <v>112.13740000000001</v>
      </c>
      <c r="J4" s="733"/>
      <c r="K4" s="732">
        <v>39.081967213114886</v>
      </c>
      <c r="L4" s="253"/>
      <c r="M4" s="732">
        <v>11.724590163934435</v>
      </c>
      <c r="N4" s="253"/>
      <c r="O4" s="732">
        <v>40.059016393442704</v>
      </c>
      <c r="P4" s="253"/>
      <c r="Q4" s="732">
        <v>40.059016393442704</v>
      </c>
      <c r="R4" s="253"/>
      <c r="S4" s="732">
        <v>42.013114754098346</v>
      </c>
      <c r="T4" s="253"/>
      <c r="U4" s="732">
        <v>5.8622950819672175</v>
      </c>
      <c r="V4" s="253"/>
      <c r="W4" s="732">
        <v>1.0101694915254238</v>
      </c>
      <c r="X4" s="253"/>
      <c r="Y4" s="253"/>
      <c r="Z4" s="732">
        <v>5.8431372549019605</v>
      </c>
      <c r="AA4" s="253"/>
      <c r="AB4" s="732">
        <v>15.581699346405227</v>
      </c>
      <c r="AC4" s="253"/>
      <c r="AD4" s="147">
        <v>0</v>
      </c>
      <c r="AE4" s="147">
        <v>13813.28</v>
      </c>
      <c r="AF4" s="147">
        <v>0</v>
      </c>
      <c r="AG4" s="147">
        <v>1142470.6483487627</v>
      </c>
      <c r="AH4" s="117">
        <v>1</v>
      </c>
      <c r="AK4" s="148">
        <v>0</v>
      </c>
      <c r="AL4" s="148">
        <v>112.13740000000001</v>
      </c>
      <c r="AM4" s="148">
        <v>39.081967213114886</v>
      </c>
      <c r="AN4" s="148">
        <v>11.724590163934435</v>
      </c>
      <c r="AO4" s="148">
        <v>40.059016393442704</v>
      </c>
      <c r="AP4" s="148">
        <v>40.059016393442704</v>
      </c>
      <c r="AQ4" s="148">
        <v>42.013114754098346</v>
      </c>
      <c r="AR4" s="148">
        <v>5.8622950819672175</v>
      </c>
      <c r="AW4" s="42">
        <v>296</v>
      </c>
      <c r="AX4" s="42">
        <v>0</v>
      </c>
      <c r="AY4" s="250"/>
    </row>
    <row r="5" spans="1:52" x14ac:dyDescent="0.2">
      <c r="A5" s="13" t="s">
        <v>6</v>
      </c>
      <c r="B5" s="11">
        <v>2629</v>
      </c>
      <c r="C5" s="147">
        <v>341</v>
      </c>
      <c r="D5" s="147">
        <v>341</v>
      </c>
      <c r="E5" s="253"/>
      <c r="F5" s="253"/>
      <c r="G5" s="253"/>
      <c r="H5" s="253"/>
      <c r="I5" s="732">
        <v>122.52499999999999</v>
      </c>
      <c r="J5" s="733"/>
      <c r="K5" s="732">
        <v>0.99120234604105439</v>
      </c>
      <c r="L5" s="253"/>
      <c r="M5" s="732">
        <v>19.824046920821122</v>
      </c>
      <c r="N5" s="253"/>
      <c r="O5" s="732">
        <v>87.225806451612812</v>
      </c>
      <c r="P5" s="253"/>
      <c r="Q5" s="732">
        <v>181.39002932551315</v>
      </c>
      <c r="R5" s="253"/>
      <c r="S5" s="732">
        <v>35.683284457477875</v>
      </c>
      <c r="T5" s="253"/>
      <c r="U5" s="732">
        <v>2.9736070381231667</v>
      </c>
      <c r="V5" s="253"/>
      <c r="W5" s="732">
        <v>0</v>
      </c>
      <c r="X5" s="253"/>
      <c r="Y5" s="253"/>
      <c r="Z5" s="732">
        <v>156.9737827715357</v>
      </c>
      <c r="AA5" s="253"/>
      <c r="AB5" s="732">
        <v>33.700879765395896</v>
      </c>
      <c r="AC5" s="253"/>
      <c r="AD5" s="147">
        <v>0</v>
      </c>
      <c r="AE5" s="147">
        <v>26912.080000000002</v>
      </c>
      <c r="AF5" s="147">
        <v>0</v>
      </c>
      <c r="AG5" s="147">
        <v>1615324.2016704173</v>
      </c>
      <c r="AH5" s="117">
        <v>1</v>
      </c>
      <c r="AK5" s="148">
        <v>0</v>
      </c>
      <c r="AL5" s="148">
        <v>122.52499999999999</v>
      </c>
      <c r="AM5" s="148">
        <v>0.99120234604105439</v>
      </c>
      <c r="AN5" s="148">
        <v>19.824046920821122</v>
      </c>
      <c r="AO5" s="148">
        <v>87.225806451612812</v>
      </c>
      <c r="AP5" s="148">
        <v>181.39002932551315</v>
      </c>
      <c r="AQ5" s="148">
        <v>35.683284457477875</v>
      </c>
      <c r="AR5" s="148">
        <v>2.9736070381231667</v>
      </c>
      <c r="AW5" s="42">
        <v>301</v>
      </c>
      <c r="AX5" s="42">
        <v>0</v>
      </c>
      <c r="AY5" s="250"/>
    </row>
    <row r="6" spans="1:52" x14ac:dyDescent="0.2">
      <c r="A6" s="13" t="s">
        <v>7</v>
      </c>
      <c r="B6" s="11">
        <v>2509</v>
      </c>
      <c r="C6" s="147">
        <v>196</v>
      </c>
      <c r="D6" s="147">
        <v>196</v>
      </c>
      <c r="E6" s="253"/>
      <c r="F6" s="253"/>
      <c r="G6" s="253"/>
      <c r="H6" s="253"/>
      <c r="I6" s="732">
        <v>50.979599999999998</v>
      </c>
      <c r="J6" s="733"/>
      <c r="K6" s="732">
        <v>10.999999999999993</v>
      </c>
      <c r="L6" s="253"/>
      <c r="M6" s="732">
        <v>3.9999999999999956</v>
      </c>
      <c r="N6" s="253"/>
      <c r="O6" s="732">
        <v>52.000000000000078</v>
      </c>
      <c r="P6" s="253"/>
      <c r="Q6" s="732">
        <v>18.000000000000011</v>
      </c>
      <c r="R6" s="253"/>
      <c r="S6" s="732">
        <v>6.9999999999999964</v>
      </c>
      <c r="T6" s="253"/>
      <c r="U6" s="732">
        <v>15.000000000000009</v>
      </c>
      <c r="V6" s="253"/>
      <c r="W6" s="732">
        <v>1.1329479768786126</v>
      </c>
      <c r="X6" s="253"/>
      <c r="Y6" s="253"/>
      <c r="Z6" s="732">
        <v>27.464968152866273</v>
      </c>
      <c r="AA6" s="253"/>
      <c r="AB6" s="732">
        <v>28.999999999999922</v>
      </c>
      <c r="AC6" s="253"/>
      <c r="AD6" s="147">
        <v>0</v>
      </c>
      <c r="AE6" s="147">
        <v>12979.72</v>
      </c>
      <c r="AF6" s="147">
        <v>0</v>
      </c>
      <c r="AG6" s="147">
        <v>789765.93839209969</v>
      </c>
      <c r="AH6" s="117">
        <v>1</v>
      </c>
      <c r="AK6" s="148">
        <v>0</v>
      </c>
      <c r="AL6" s="148">
        <v>50.979599999999998</v>
      </c>
      <c r="AM6" s="148">
        <v>10.999999999999993</v>
      </c>
      <c r="AN6" s="148">
        <v>3.9999999999999956</v>
      </c>
      <c r="AO6" s="148">
        <v>52.000000000000078</v>
      </c>
      <c r="AP6" s="148">
        <v>18.000000000000011</v>
      </c>
      <c r="AQ6" s="148">
        <v>6.9999999999999964</v>
      </c>
      <c r="AR6" s="148">
        <v>15.000000000000009</v>
      </c>
      <c r="AW6" s="42">
        <v>170</v>
      </c>
      <c r="AX6" s="42">
        <v>0</v>
      </c>
      <c r="AY6" s="250"/>
    </row>
    <row r="7" spans="1:52" x14ac:dyDescent="0.2">
      <c r="A7" s="13" t="s">
        <v>8</v>
      </c>
      <c r="B7" s="11">
        <v>2005</v>
      </c>
      <c r="C7" s="147">
        <v>305</v>
      </c>
      <c r="D7" s="147">
        <v>305</v>
      </c>
      <c r="E7" s="253"/>
      <c r="F7" s="253"/>
      <c r="G7" s="253"/>
      <c r="H7" s="253"/>
      <c r="I7" s="732">
        <v>160.94850000000002</v>
      </c>
      <c r="J7" s="733"/>
      <c r="K7" s="732">
        <v>17.112211221122109</v>
      </c>
      <c r="L7" s="253"/>
      <c r="M7" s="732">
        <v>84.554455445544477</v>
      </c>
      <c r="N7" s="253"/>
      <c r="O7" s="732">
        <v>93.613861386138623</v>
      </c>
      <c r="P7" s="253"/>
      <c r="Q7" s="732">
        <v>60.396039603960389</v>
      </c>
      <c r="R7" s="253"/>
      <c r="S7" s="732">
        <v>28.184818481848183</v>
      </c>
      <c r="T7" s="253"/>
      <c r="U7" s="732">
        <v>14.092409240924091</v>
      </c>
      <c r="V7" s="253"/>
      <c r="W7" s="732">
        <v>0</v>
      </c>
      <c r="X7" s="253"/>
      <c r="Y7" s="253"/>
      <c r="Z7" s="732">
        <v>19.918367346938776</v>
      </c>
      <c r="AA7" s="253"/>
      <c r="AB7" s="732">
        <v>36.000000000000028</v>
      </c>
      <c r="AC7" s="253"/>
      <c r="AD7" s="147">
        <v>0</v>
      </c>
      <c r="AE7" s="147">
        <v>15004.08</v>
      </c>
      <c r="AF7" s="147">
        <v>0</v>
      </c>
      <c r="AG7" s="147">
        <v>1224364.0682799744</v>
      </c>
      <c r="AH7" s="117">
        <v>1</v>
      </c>
      <c r="AK7" s="148">
        <v>0</v>
      </c>
      <c r="AL7" s="148">
        <v>160.94850000000002</v>
      </c>
      <c r="AM7" s="148">
        <v>17.112211221122109</v>
      </c>
      <c r="AN7" s="148">
        <v>84.554455445544477</v>
      </c>
      <c r="AO7" s="148">
        <v>93.613861386138623</v>
      </c>
      <c r="AP7" s="148">
        <v>60.396039603960389</v>
      </c>
      <c r="AQ7" s="148">
        <v>28.184818481848183</v>
      </c>
      <c r="AR7" s="148">
        <v>14.092409240924091</v>
      </c>
      <c r="AW7" s="42">
        <v>270</v>
      </c>
      <c r="AX7" s="42">
        <v>0</v>
      </c>
      <c r="AY7" s="250"/>
    </row>
    <row r="8" spans="1:52" x14ac:dyDescent="0.2">
      <c r="A8" s="13" t="s">
        <v>9</v>
      </c>
      <c r="B8" s="11">
        <v>2464</v>
      </c>
      <c r="C8" s="147">
        <v>171</v>
      </c>
      <c r="D8" s="147">
        <v>171</v>
      </c>
      <c r="E8" s="253"/>
      <c r="F8" s="253"/>
      <c r="G8" s="253"/>
      <c r="H8" s="253"/>
      <c r="I8" s="732">
        <v>56.669400000000003</v>
      </c>
      <c r="J8" s="733"/>
      <c r="K8" s="732">
        <v>40.235294117647086</v>
      </c>
      <c r="L8" s="253"/>
      <c r="M8" s="732">
        <v>96.564705882352897</v>
      </c>
      <c r="N8" s="253"/>
      <c r="O8" s="732">
        <v>2.0117647058823458</v>
      </c>
      <c r="P8" s="253"/>
      <c r="Q8" s="732">
        <v>0</v>
      </c>
      <c r="R8" s="253"/>
      <c r="S8" s="732">
        <v>2.0117647058823458</v>
      </c>
      <c r="T8" s="253"/>
      <c r="U8" s="732">
        <v>0</v>
      </c>
      <c r="V8" s="253"/>
      <c r="W8" s="732">
        <v>1.0118343195266273</v>
      </c>
      <c r="X8" s="253"/>
      <c r="Y8" s="253"/>
      <c r="Z8" s="732">
        <v>1.2127659574468079</v>
      </c>
      <c r="AA8" s="253"/>
      <c r="AB8" s="732">
        <v>13.000000000000002</v>
      </c>
      <c r="AC8" s="253"/>
      <c r="AD8" s="147">
        <v>0</v>
      </c>
      <c r="AE8" s="147">
        <v>12622.48</v>
      </c>
      <c r="AF8" s="147">
        <v>0</v>
      </c>
      <c r="AG8" s="147">
        <v>710504.00901448017</v>
      </c>
      <c r="AH8" s="117">
        <v>1</v>
      </c>
      <c r="AK8" s="148">
        <v>0</v>
      </c>
      <c r="AL8" s="148">
        <v>56.669400000000003</v>
      </c>
      <c r="AM8" s="148">
        <v>40.235294117647086</v>
      </c>
      <c r="AN8" s="148">
        <v>96.564705882352897</v>
      </c>
      <c r="AO8" s="148">
        <v>2.0117647058823458</v>
      </c>
      <c r="AP8" s="148">
        <v>0</v>
      </c>
      <c r="AQ8" s="148">
        <v>2.0117647058823458</v>
      </c>
      <c r="AR8" s="148">
        <v>0</v>
      </c>
      <c r="AW8" s="42">
        <v>169</v>
      </c>
      <c r="AX8" s="42">
        <v>0</v>
      </c>
      <c r="AY8" s="250"/>
    </row>
    <row r="9" spans="1:52" x14ac:dyDescent="0.2">
      <c r="A9" s="13" t="s">
        <v>10</v>
      </c>
      <c r="B9" s="11">
        <v>2004</v>
      </c>
      <c r="C9" s="147">
        <v>252</v>
      </c>
      <c r="D9" s="147">
        <v>252</v>
      </c>
      <c r="E9" s="253"/>
      <c r="F9" s="253"/>
      <c r="G9" s="253"/>
      <c r="H9" s="253"/>
      <c r="I9" s="732">
        <v>163.422</v>
      </c>
      <c r="J9" s="733"/>
      <c r="K9" s="732">
        <v>17.136000000000003</v>
      </c>
      <c r="L9" s="253"/>
      <c r="M9" s="732">
        <v>12.096</v>
      </c>
      <c r="N9" s="253"/>
      <c r="O9" s="732">
        <v>16.128</v>
      </c>
      <c r="P9" s="253"/>
      <c r="Q9" s="732">
        <v>6.048</v>
      </c>
      <c r="R9" s="253"/>
      <c r="S9" s="732">
        <v>175.392</v>
      </c>
      <c r="T9" s="253"/>
      <c r="U9" s="732">
        <v>0</v>
      </c>
      <c r="V9" s="253"/>
      <c r="W9" s="732">
        <v>0</v>
      </c>
      <c r="X9" s="253"/>
      <c r="Y9" s="253"/>
      <c r="Z9" s="732">
        <v>3.7425742574257548</v>
      </c>
      <c r="AA9" s="253"/>
      <c r="AB9" s="732">
        <v>23.999999999999993</v>
      </c>
      <c r="AC9" s="253"/>
      <c r="AD9" s="147">
        <v>0</v>
      </c>
      <c r="AE9" s="147">
        <v>15004.08</v>
      </c>
      <c r="AF9" s="147">
        <v>0</v>
      </c>
      <c r="AG9" s="147">
        <v>1238461.6669098882</v>
      </c>
      <c r="AH9" s="117">
        <v>1</v>
      </c>
      <c r="AK9" s="148">
        <v>0</v>
      </c>
      <c r="AL9" s="148">
        <v>163.422</v>
      </c>
      <c r="AM9" s="148">
        <v>17.136000000000003</v>
      </c>
      <c r="AN9" s="148">
        <v>12.096</v>
      </c>
      <c r="AO9" s="148">
        <v>16.128</v>
      </c>
      <c r="AP9" s="148">
        <v>6.048</v>
      </c>
      <c r="AQ9" s="148">
        <v>175.392</v>
      </c>
      <c r="AR9" s="148">
        <v>0</v>
      </c>
      <c r="AW9" s="42">
        <v>243</v>
      </c>
      <c r="AX9" s="42">
        <v>0</v>
      </c>
      <c r="AY9" s="250"/>
    </row>
    <row r="10" spans="1:52" x14ac:dyDescent="0.2">
      <c r="A10" s="13" t="s">
        <v>11</v>
      </c>
      <c r="B10" s="11">
        <v>2405</v>
      </c>
      <c r="C10" s="147">
        <v>190</v>
      </c>
      <c r="D10" s="147">
        <v>190</v>
      </c>
      <c r="E10" s="253"/>
      <c r="F10" s="253"/>
      <c r="G10" s="253"/>
      <c r="H10" s="253"/>
      <c r="I10" s="732">
        <v>109.45899999999999</v>
      </c>
      <c r="J10" s="733"/>
      <c r="K10" s="732">
        <v>2.0000000000000031</v>
      </c>
      <c r="L10" s="253"/>
      <c r="M10" s="732">
        <v>29.99999999999995</v>
      </c>
      <c r="N10" s="253"/>
      <c r="O10" s="732">
        <v>103.00000000000004</v>
      </c>
      <c r="P10" s="253"/>
      <c r="Q10" s="732">
        <v>6.0000000000000098</v>
      </c>
      <c r="R10" s="253"/>
      <c r="S10" s="732">
        <v>42.999999999999957</v>
      </c>
      <c r="T10" s="253"/>
      <c r="U10" s="732">
        <v>4.9999999999999973</v>
      </c>
      <c r="V10" s="253"/>
      <c r="W10" s="732">
        <v>1.0382513661202186</v>
      </c>
      <c r="X10" s="253"/>
      <c r="Y10" s="253"/>
      <c r="Z10" s="732">
        <v>35.849056603773612</v>
      </c>
      <c r="AA10" s="253"/>
      <c r="AB10" s="732">
        <v>30.999999999999979</v>
      </c>
      <c r="AC10" s="253"/>
      <c r="AD10" s="147">
        <v>0</v>
      </c>
      <c r="AE10" s="147">
        <v>13098.8</v>
      </c>
      <c r="AF10" s="147">
        <v>0</v>
      </c>
      <c r="AG10" s="147">
        <v>877178.1407289916</v>
      </c>
      <c r="AH10" s="117">
        <v>1</v>
      </c>
      <c r="AK10" s="148">
        <v>0</v>
      </c>
      <c r="AL10" s="148">
        <v>109.45899999999999</v>
      </c>
      <c r="AM10" s="148">
        <v>2.0000000000000031</v>
      </c>
      <c r="AN10" s="148">
        <v>29.99999999999995</v>
      </c>
      <c r="AO10" s="148">
        <v>103.00000000000004</v>
      </c>
      <c r="AP10" s="148">
        <v>6.0000000000000098</v>
      </c>
      <c r="AQ10" s="148">
        <v>42.999999999999957</v>
      </c>
      <c r="AR10" s="148">
        <v>4.9999999999999973</v>
      </c>
      <c r="AW10" s="42">
        <v>182</v>
      </c>
      <c r="AX10" s="42">
        <v>0</v>
      </c>
      <c r="AY10" s="250"/>
    </row>
    <row r="11" spans="1:52" x14ac:dyDescent="0.2">
      <c r="A11" s="13" t="s">
        <v>108</v>
      </c>
      <c r="B11" s="11">
        <v>3525</v>
      </c>
      <c r="C11" s="147">
        <v>202</v>
      </c>
      <c r="D11" s="147">
        <v>202</v>
      </c>
      <c r="E11" s="253"/>
      <c r="F11" s="253"/>
      <c r="G11" s="253"/>
      <c r="H11" s="253"/>
      <c r="I11" s="732">
        <v>63.003800000000005</v>
      </c>
      <c r="J11" s="733"/>
      <c r="K11" s="732">
        <v>0</v>
      </c>
      <c r="L11" s="253"/>
      <c r="M11" s="732">
        <v>79.999999999999986</v>
      </c>
      <c r="N11" s="253"/>
      <c r="O11" s="732">
        <v>70.000000000000099</v>
      </c>
      <c r="P11" s="253"/>
      <c r="Q11" s="732">
        <v>13.999999999999998</v>
      </c>
      <c r="R11" s="253"/>
      <c r="S11" s="732">
        <v>13.999999999999998</v>
      </c>
      <c r="T11" s="253"/>
      <c r="U11" s="732">
        <v>0</v>
      </c>
      <c r="V11" s="253"/>
      <c r="W11" s="732">
        <v>0</v>
      </c>
      <c r="X11" s="253"/>
      <c r="Y11" s="253"/>
      <c r="Z11" s="732">
        <v>16.441860465116278</v>
      </c>
      <c r="AA11" s="253"/>
      <c r="AB11" s="732">
        <v>15.000000000000007</v>
      </c>
      <c r="AC11" s="253"/>
      <c r="AD11" s="147">
        <v>0</v>
      </c>
      <c r="AE11" s="147">
        <v>4919.6159999999982</v>
      </c>
      <c r="AF11" s="147">
        <v>0</v>
      </c>
      <c r="AG11" s="147">
        <v>799544.46208468766</v>
      </c>
      <c r="AH11" s="117">
        <v>1</v>
      </c>
      <c r="AK11" s="148">
        <v>0</v>
      </c>
      <c r="AL11" s="148">
        <v>63.003800000000005</v>
      </c>
      <c r="AM11" s="148">
        <v>0</v>
      </c>
      <c r="AN11" s="148">
        <v>79.999999999999986</v>
      </c>
      <c r="AO11" s="148">
        <v>70.000000000000099</v>
      </c>
      <c r="AP11" s="148">
        <v>13.999999999999998</v>
      </c>
      <c r="AQ11" s="148">
        <v>13.999999999999998</v>
      </c>
      <c r="AR11" s="148">
        <v>0</v>
      </c>
      <c r="AW11" s="42">
        <v>200</v>
      </c>
      <c r="AX11" s="42">
        <v>0</v>
      </c>
      <c r="AY11" s="250"/>
    </row>
    <row r="12" spans="1:52" x14ac:dyDescent="0.2">
      <c r="A12" s="13" t="s">
        <v>12</v>
      </c>
      <c r="B12" s="12">
        <v>5201</v>
      </c>
      <c r="C12" s="147">
        <v>377</v>
      </c>
      <c r="D12" s="147">
        <v>377</v>
      </c>
      <c r="E12" s="253"/>
      <c r="F12" s="253"/>
      <c r="G12" s="253"/>
      <c r="H12" s="253"/>
      <c r="I12" s="732">
        <v>56.248399999999997</v>
      </c>
      <c r="J12" s="733"/>
      <c r="K12" s="732">
        <v>26.999999999999996</v>
      </c>
      <c r="L12" s="253"/>
      <c r="M12" s="732">
        <v>69.999999999999886</v>
      </c>
      <c r="N12" s="253"/>
      <c r="O12" s="732">
        <v>7.9999999999999876</v>
      </c>
      <c r="P12" s="253"/>
      <c r="Q12" s="732">
        <v>0.99999999999999845</v>
      </c>
      <c r="R12" s="253"/>
      <c r="S12" s="732">
        <v>3.9999999999999938</v>
      </c>
      <c r="T12" s="253"/>
      <c r="U12" s="732">
        <v>0</v>
      </c>
      <c r="V12" s="253"/>
      <c r="W12" s="732">
        <v>0</v>
      </c>
      <c r="X12" s="253"/>
      <c r="Y12" s="253"/>
      <c r="Z12" s="732">
        <v>0</v>
      </c>
      <c r="AA12" s="253"/>
      <c r="AB12" s="732">
        <v>16.000000000000011</v>
      </c>
      <c r="AC12" s="253"/>
      <c r="AD12" s="147">
        <v>0</v>
      </c>
      <c r="AE12" s="147">
        <v>10812.464</v>
      </c>
      <c r="AF12" s="147">
        <v>0</v>
      </c>
      <c r="AG12" s="147">
        <v>1207378.5907418206</v>
      </c>
      <c r="AH12" s="117">
        <v>1</v>
      </c>
      <c r="AK12" s="148">
        <v>0</v>
      </c>
      <c r="AL12" s="148">
        <v>56.248399999999997</v>
      </c>
      <c r="AM12" s="148">
        <v>26.999999999999996</v>
      </c>
      <c r="AN12" s="148">
        <v>69.999999999999886</v>
      </c>
      <c r="AO12" s="148">
        <v>7.9999999999999876</v>
      </c>
      <c r="AP12" s="148">
        <v>0.99999999999999845</v>
      </c>
      <c r="AQ12" s="148">
        <v>3.9999999999999938</v>
      </c>
      <c r="AR12" s="148">
        <v>0</v>
      </c>
      <c r="AW12" s="42">
        <v>361</v>
      </c>
      <c r="AX12" s="42">
        <v>0</v>
      </c>
      <c r="AY12" s="250"/>
    </row>
    <row r="13" spans="1:52" x14ac:dyDescent="0.2">
      <c r="A13" s="245" t="s">
        <v>618</v>
      </c>
      <c r="B13" s="246">
        <v>2007</v>
      </c>
      <c r="C13" s="147">
        <v>256</v>
      </c>
      <c r="D13" s="147">
        <v>256</v>
      </c>
      <c r="E13" s="253"/>
      <c r="F13" s="253"/>
      <c r="G13" s="253"/>
      <c r="H13" s="253"/>
      <c r="I13" s="732">
        <v>142.6944</v>
      </c>
      <c r="J13" s="733"/>
      <c r="K13" s="732">
        <v>0</v>
      </c>
      <c r="L13" s="253"/>
      <c r="M13" s="732">
        <v>27.320158102766847</v>
      </c>
      <c r="N13" s="253"/>
      <c r="O13" s="732">
        <v>28.332015810276609</v>
      </c>
      <c r="P13" s="253"/>
      <c r="Q13" s="732">
        <v>119.39920948616601</v>
      </c>
      <c r="R13" s="253"/>
      <c r="S13" s="732">
        <v>49.581027667984131</v>
      </c>
      <c r="T13" s="253"/>
      <c r="U13" s="732">
        <v>13.154150197628468</v>
      </c>
      <c r="V13" s="253"/>
      <c r="W13" s="732">
        <v>4.1967213114754101</v>
      </c>
      <c r="X13" s="253"/>
      <c r="Y13" s="253"/>
      <c r="Z13" s="732">
        <v>36.226415094339586</v>
      </c>
      <c r="AA13" s="253"/>
      <c r="AB13" s="732">
        <v>0</v>
      </c>
      <c r="AC13" s="253"/>
      <c r="AD13" s="147">
        <v>0</v>
      </c>
      <c r="AE13" s="754">
        <v>2961.9803199999988</v>
      </c>
      <c r="AF13" s="147">
        <v>0</v>
      </c>
      <c r="AG13" s="743">
        <v>1109788.817325623</v>
      </c>
      <c r="AH13" s="117">
        <v>1</v>
      </c>
      <c r="AK13" s="148">
        <v>0</v>
      </c>
      <c r="AL13" s="148">
        <v>142.6944</v>
      </c>
      <c r="AM13" s="148">
        <v>0</v>
      </c>
      <c r="AN13" s="148">
        <v>27.320158102766847</v>
      </c>
      <c r="AO13" s="148">
        <v>28.332015810276609</v>
      </c>
      <c r="AP13" s="148">
        <v>119.39920948616601</v>
      </c>
      <c r="AQ13" s="148">
        <v>49.581027667984131</v>
      </c>
      <c r="AR13" s="148">
        <v>13.154150197628468</v>
      </c>
      <c r="AW13" s="42">
        <v>248</v>
      </c>
      <c r="AX13" s="42">
        <v>0</v>
      </c>
      <c r="AY13" s="250"/>
    </row>
    <row r="14" spans="1:52" x14ac:dyDescent="0.2">
      <c r="A14" s="13" t="s">
        <v>14</v>
      </c>
      <c r="B14" s="11">
        <v>2433</v>
      </c>
      <c r="C14" s="147">
        <v>173</v>
      </c>
      <c r="D14" s="147">
        <v>173</v>
      </c>
      <c r="E14" s="253"/>
      <c r="F14" s="253"/>
      <c r="G14" s="253"/>
      <c r="H14" s="253"/>
      <c r="I14" s="732">
        <v>53.812799999999996</v>
      </c>
      <c r="J14" s="733"/>
      <c r="K14" s="732">
        <v>21.38728323699419</v>
      </c>
      <c r="L14" s="253"/>
      <c r="M14" s="732">
        <v>30.797687861271687</v>
      </c>
      <c r="N14" s="253"/>
      <c r="O14" s="732">
        <v>46.196531791907454</v>
      </c>
      <c r="P14" s="253"/>
      <c r="Q14" s="732">
        <v>7.6994219653179128</v>
      </c>
      <c r="R14" s="253"/>
      <c r="S14" s="732">
        <v>25.664739884392997</v>
      </c>
      <c r="T14" s="253"/>
      <c r="U14" s="732">
        <v>2.5664739884392995</v>
      </c>
      <c r="V14" s="253"/>
      <c r="W14" s="732">
        <v>0</v>
      </c>
      <c r="X14" s="253"/>
      <c r="Y14" s="253"/>
      <c r="Z14" s="732">
        <v>8.931034482758621</v>
      </c>
      <c r="AA14" s="253"/>
      <c r="AB14" s="732">
        <v>10.265895953757228</v>
      </c>
      <c r="AC14" s="253"/>
      <c r="AD14" s="147">
        <v>0</v>
      </c>
      <c r="AE14" s="147">
        <v>7978.36</v>
      </c>
      <c r="AF14" s="147">
        <v>0</v>
      </c>
      <c r="AG14" s="147">
        <v>810665.51594190614</v>
      </c>
      <c r="AH14" s="117">
        <v>1</v>
      </c>
      <c r="AK14" s="148">
        <v>0</v>
      </c>
      <c r="AL14" s="148">
        <v>53.812799999999996</v>
      </c>
      <c r="AM14" s="148">
        <v>21.38728323699419</v>
      </c>
      <c r="AN14" s="148">
        <v>30.797687861271687</v>
      </c>
      <c r="AO14" s="148">
        <v>46.196531791907454</v>
      </c>
      <c r="AP14" s="148">
        <v>7.6994219653179128</v>
      </c>
      <c r="AQ14" s="148">
        <v>25.664739884392997</v>
      </c>
      <c r="AR14" s="148">
        <v>2.5664739884392995</v>
      </c>
      <c r="AW14" s="42">
        <v>175</v>
      </c>
      <c r="AX14" s="42">
        <v>0</v>
      </c>
      <c r="AY14" s="250"/>
    </row>
    <row r="15" spans="1:52" x14ac:dyDescent="0.2">
      <c r="A15" s="13" t="s">
        <v>15</v>
      </c>
      <c r="B15" s="11">
        <v>2432</v>
      </c>
      <c r="C15" s="147">
        <v>239</v>
      </c>
      <c r="D15" s="147">
        <v>239</v>
      </c>
      <c r="E15" s="253"/>
      <c r="F15" s="253"/>
      <c r="G15" s="253"/>
      <c r="H15" s="253"/>
      <c r="I15" s="732">
        <v>102.83159999999999</v>
      </c>
      <c r="J15" s="733"/>
      <c r="K15" s="732">
        <v>52.142259414226025</v>
      </c>
      <c r="L15" s="253"/>
      <c r="M15" s="732">
        <v>42.050209205020899</v>
      </c>
      <c r="N15" s="253"/>
      <c r="O15" s="732">
        <v>38.686192468619261</v>
      </c>
      <c r="P15" s="253"/>
      <c r="Q15" s="732">
        <v>7.5690376569037703</v>
      </c>
      <c r="R15" s="253"/>
      <c r="S15" s="732">
        <v>31.958158995815982</v>
      </c>
      <c r="T15" s="253"/>
      <c r="U15" s="732">
        <v>5.8870292887029301</v>
      </c>
      <c r="V15" s="253"/>
      <c r="W15" s="732">
        <v>0.93488372093023253</v>
      </c>
      <c r="X15" s="253"/>
      <c r="Y15" s="253"/>
      <c r="Z15" s="732">
        <v>5.8870292887029301</v>
      </c>
      <c r="AA15" s="253"/>
      <c r="AB15" s="732">
        <v>16.820083682008363</v>
      </c>
      <c r="AC15" s="253"/>
      <c r="AD15" s="147">
        <v>0</v>
      </c>
      <c r="AE15" s="147">
        <v>7978.36</v>
      </c>
      <c r="AF15" s="147">
        <v>0</v>
      </c>
      <c r="AG15" s="147">
        <v>1035884.3151044435</v>
      </c>
      <c r="AH15" s="117">
        <v>1</v>
      </c>
      <c r="AK15" s="148">
        <v>0</v>
      </c>
      <c r="AL15" s="148">
        <v>102.83159999999999</v>
      </c>
      <c r="AM15" s="148">
        <v>52.142259414226025</v>
      </c>
      <c r="AN15" s="148">
        <v>42.050209205020899</v>
      </c>
      <c r="AO15" s="148">
        <v>38.686192468619261</v>
      </c>
      <c r="AP15" s="148">
        <v>7.5690376569037703</v>
      </c>
      <c r="AQ15" s="148">
        <v>31.958158995815982</v>
      </c>
      <c r="AR15" s="148">
        <v>5.8870292887029301</v>
      </c>
      <c r="AW15" s="42">
        <v>214</v>
      </c>
      <c r="AX15" s="42">
        <v>0</v>
      </c>
      <c r="AY15" s="250"/>
    </row>
    <row r="16" spans="1:52" x14ac:dyDescent="0.2">
      <c r="A16" s="13" t="s">
        <v>16</v>
      </c>
      <c r="B16" s="11">
        <v>2446</v>
      </c>
      <c r="C16" s="147">
        <v>171</v>
      </c>
      <c r="D16" s="147">
        <v>171</v>
      </c>
      <c r="E16" s="253"/>
      <c r="F16" s="253"/>
      <c r="G16" s="253"/>
      <c r="H16" s="253"/>
      <c r="I16" s="732">
        <v>50.479200000000006</v>
      </c>
      <c r="J16" s="733"/>
      <c r="K16" s="732">
        <v>25.29585798816564</v>
      </c>
      <c r="L16" s="253"/>
      <c r="M16" s="732">
        <v>40.473372781065024</v>
      </c>
      <c r="N16" s="253"/>
      <c r="O16" s="732">
        <v>4.047337278106502</v>
      </c>
      <c r="P16" s="253"/>
      <c r="Q16" s="732">
        <v>25.29585798816564</v>
      </c>
      <c r="R16" s="253"/>
      <c r="S16" s="732">
        <v>27.319526627218856</v>
      </c>
      <c r="T16" s="253"/>
      <c r="U16" s="732">
        <v>0</v>
      </c>
      <c r="V16" s="253"/>
      <c r="W16" s="732">
        <v>3.0903614457831323</v>
      </c>
      <c r="X16" s="253"/>
      <c r="Y16" s="253"/>
      <c r="Z16" s="732">
        <v>18.48648648648647</v>
      </c>
      <c r="AA16" s="253"/>
      <c r="AB16" s="732">
        <v>7.9999999999999911</v>
      </c>
      <c r="AC16" s="253"/>
      <c r="AD16" s="147">
        <v>0</v>
      </c>
      <c r="AE16" s="147">
        <v>8811.92</v>
      </c>
      <c r="AF16" s="147">
        <v>0</v>
      </c>
      <c r="AG16" s="147">
        <v>696071.53653683979</v>
      </c>
      <c r="AH16" s="117">
        <v>1</v>
      </c>
      <c r="AK16" s="148">
        <v>0</v>
      </c>
      <c r="AL16" s="148">
        <v>50.479200000000006</v>
      </c>
      <c r="AM16" s="148">
        <v>25.29585798816564</v>
      </c>
      <c r="AN16" s="148">
        <v>40.473372781065024</v>
      </c>
      <c r="AO16" s="148">
        <v>4.047337278106502</v>
      </c>
      <c r="AP16" s="148">
        <v>25.29585798816564</v>
      </c>
      <c r="AQ16" s="148">
        <v>27.319526627218856</v>
      </c>
      <c r="AR16" s="148">
        <v>0</v>
      </c>
      <c r="AW16" s="42">
        <v>165</v>
      </c>
      <c r="AX16" s="42">
        <v>0</v>
      </c>
      <c r="AY16" s="250"/>
    </row>
    <row r="17" spans="1:51" x14ac:dyDescent="0.2">
      <c r="A17" s="13" t="s">
        <v>17</v>
      </c>
      <c r="B17" s="11">
        <v>2447</v>
      </c>
      <c r="C17" s="147">
        <v>210</v>
      </c>
      <c r="D17" s="147">
        <v>210</v>
      </c>
      <c r="E17" s="253"/>
      <c r="F17" s="253"/>
      <c r="G17" s="253"/>
      <c r="H17" s="253"/>
      <c r="I17" s="732">
        <v>91.685999999999993</v>
      </c>
      <c r="J17" s="733"/>
      <c r="K17" s="732">
        <v>47.000000000000043</v>
      </c>
      <c r="L17" s="253"/>
      <c r="M17" s="732">
        <v>40.99999999999995</v>
      </c>
      <c r="N17" s="253"/>
      <c r="O17" s="732">
        <v>9.0000000000000089</v>
      </c>
      <c r="P17" s="253"/>
      <c r="Q17" s="732">
        <v>27.999999999999929</v>
      </c>
      <c r="R17" s="253"/>
      <c r="S17" s="732">
        <v>27.000000000000092</v>
      </c>
      <c r="T17" s="253"/>
      <c r="U17" s="732">
        <v>0</v>
      </c>
      <c r="V17" s="253"/>
      <c r="W17" s="732">
        <v>0</v>
      </c>
      <c r="X17" s="253"/>
      <c r="Y17" s="253"/>
      <c r="Z17" s="732">
        <v>3.0000000000000027</v>
      </c>
      <c r="AA17" s="253"/>
      <c r="AB17" s="732">
        <v>9.9999999999999964</v>
      </c>
      <c r="AC17" s="253"/>
      <c r="AD17" s="147">
        <v>0</v>
      </c>
      <c r="AE17" s="147">
        <v>8811.92</v>
      </c>
      <c r="AF17" s="147">
        <v>0</v>
      </c>
      <c r="AG17" s="147">
        <v>829003.84665173281</v>
      </c>
      <c r="AH17" s="117">
        <v>1</v>
      </c>
      <c r="AK17" s="148">
        <v>0</v>
      </c>
      <c r="AL17" s="148">
        <v>91.685999999999993</v>
      </c>
      <c r="AM17" s="148">
        <v>47.000000000000043</v>
      </c>
      <c r="AN17" s="148">
        <v>40.99999999999995</v>
      </c>
      <c r="AO17" s="148">
        <v>9.0000000000000089</v>
      </c>
      <c r="AP17" s="148">
        <v>27.999999999999929</v>
      </c>
      <c r="AQ17" s="148">
        <v>27.000000000000092</v>
      </c>
      <c r="AR17" s="148">
        <v>0</v>
      </c>
      <c r="AW17" s="42">
        <v>211</v>
      </c>
      <c r="AX17" s="42">
        <v>0</v>
      </c>
      <c r="AY17" s="250"/>
    </row>
    <row r="18" spans="1:51" x14ac:dyDescent="0.2">
      <c r="A18" s="13" t="s">
        <v>18</v>
      </c>
      <c r="B18" s="11">
        <v>2512</v>
      </c>
      <c r="C18" s="147">
        <v>203</v>
      </c>
      <c r="D18" s="147">
        <v>203</v>
      </c>
      <c r="E18" s="253"/>
      <c r="F18" s="253"/>
      <c r="G18" s="253"/>
      <c r="H18" s="253"/>
      <c r="I18" s="732">
        <v>30.551499999999997</v>
      </c>
      <c r="J18" s="733"/>
      <c r="K18" s="732">
        <v>50.999999999999986</v>
      </c>
      <c r="L18" s="253"/>
      <c r="M18" s="732">
        <v>1.0000000000000007</v>
      </c>
      <c r="N18" s="253"/>
      <c r="O18" s="732">
        <v>7.0000000000000098</v>
      </c>
      <c r="P18" s="253"/>
      <c r="Q18" s="732">
        <v>1.0000000000000007</v>
      </c>
      <c r="R18" s="253"/>
      <c r="S18" s="732">
        <v>0</v>
      </c>
      <c r="T18" s="253"/>
      <c r="U18" s="732">
        <v>1.0000000000000007</v>
      </c>
      <c r="V18" s="253"/>
      <c r="W18" s="732">
        <v>0</v>
      </c>
      <c r="X18" s="253"/>
      <c r="Y18" s="253"/>
      <c r="Z18" s="732">
        <v>25.815028901734006</v>
      </c>
      <c r="AA18" s="253"/>
      <c r="AB18" s="732">
        <v>19.000000000000004</v>
      </c>
      <c r="AC18" s="253"/>
      <c r="AD18" s="147">
        <v>0</v>
      </c>
      <c r="AE18" s="147">
        <v>15004.08</v>
      </c>
      <c r="AF18" s="147">
        <v>0</v>
      </c>
      <c r="AG18" s="147">
        <v>706049.36700502003</v>
      </c>
      <c r="AH18" s="117">
        <v>1</v>
      </c>
      <c r="AK18" s="148">
        <v>0</v>
      </c>
      <c r="AL18" s="148">
        <v>30.551499999999997</v>
      </c>
      <c r="AM18" s="148">
        <v>50.999999999999986</v>
      </c>
      <c r="AN18" s="148">
        <v>1.0000000000000007</v>
      </c>
      <c r="AO18" s="148">
        <v>7.0000000000000098</v>
      </c>
      <c r="AP18" s="148">
        <v>1.0000000000000007</v>
      </c>
      <c r="AQ18" s="148">
        <v>0</v>
      </c>
      <c r="AR18" s="148">
        <v>1.0000000000000007</v>
      </c>
      <c r="AW18" s="42">
        <v>203</v>
      </c>
      <c r="AX18" s="42">
        <v>0</v>
      </c>
      <c r="AY18" s="250"/>
    </row>
    <row r="19" spans="1:51" x14ac:dyDescent="0.2">
      <c r="A19" s="13" t="s">
        <v>19</v>
      </c>
      <c r="B19" s="11">
        <v>2456</v>
      </c>
      <c r="C19" s="147">
        <v>178</v>
      </c>
      <c r="D19" s="147">
        <v>178</v>
      </c>
      <c r="E19" s="253"/>
      <c r="F19" s="253"/>
      <c r="G19" s="253"/>
      <c r="H19" s="253"/>
      <c r="I19" s="732">
        <v>14.916400000000003</v>
      </c>
      <c r="J19" s="733"/>
      <c r="K19" s="732">
        <v>8.0451977401130037</v>
      </c>
      <c r="L19" s="253"/>
      <c r="M19" s="732">
        <v>3.0169491525423759</v>
      </c>
      <c r="N19" s="253"/>
      <c r="O19" s="732">
        <v>9.0508474576271105</v>
      </c>
      <c r="P19" s="253"/>
      <c r="Q19" s="732">
        <v>1.0056497175141237</v>
      </c>
      <c r="R19" s="253"/>
      <c r="S19" s="732">
        <v>0</v>
      </c>
      <c r="T19" s="253"/>
      <c r="U19" s="732">
        <v>1.0056497175141237</v>
      </c>
      <c r="V19" s="253"/>
      <c r="W19" s="732">
        <v>0.99441340782122911</v>
      </c>
      <c r="X19" s="253"/>
      <c r="Y19" s="253"/>
      <c r="Z19" s="732">
        <v>42.237288135593161</v>
      </c>
      <c r="AA19" s="253"/>
      <c r="AB19" s="732">
        <v>6.9999999999999973</v>
      </c>
      <c r="AC19" s="253"/>
      <c r="AD19" s="147">
        <v>0</v>
      </c>
      <c r="AE19" s="147">
        <v>8931</v>
      </c>
      <c r="AF19" s="147">
        <v>0</v>
      </c>
      <c r="AG19" s="147">
        <v>622315.21152717865</v>
      </c>
      <c r="AH19" s="117">
        <v>1</v>
      </c>
      <c r="AK19" s="148">
        <v>0</v>
      </c>
      <c r="AL19" s="148">
        <v>14.916400000000003</v>
      </c>
      <c r="AM19" s="148">
        <v>8.0451977401130037</v>
      </c>
      <c r="AN19" s="148">
        <v>3.0169491525423759</v>
      </c>
      <c r="AO19" s="148">
        <v>9.0508474576271105</v>
      </c>
      <c r="AP19" s="148">
        <v>1.0056497175141237</v>
      </c>
      <c r="AQ19" s="148">
        <v>0</v>
      </c>
      <c r="AR19" s="148">
        <v>1.0056497175141237</v>
      </c>
      <c r="AW19" s="42">
        <v>176</v>
      </c>
      <c r="AX19" s="42">
        <v>0</v>
      </c>
      <c r="AY19" s="250"/>
    </row>
    <row r="20" spans="1:51" x14ac:dyDescent="0.2">
      <c r="A20" s="13" t="s">
        <v>20</v>
      </c>
      <c r="B20" s="11">
        <v>2449</v>
      </c>
      <c r="C20" s="147">
        <v>259</v>
      </c>
      <c r="D20" s="147">
        <v>259</v>
      </c>
      <c r="E20" s="253"/>
      <c r="F20" s="253"/>
      <c r="G20" s="253"/>
      <c r="H20" s="253"/>
      <c r="I20" s="732">
        <v>67.728499999999997</v>
      </c>
      <c r="J20" s="733"/>
      <c r="K20" s="732">
        <v>32.999999999999893</v>
      </c>
      <c r="L20" s="253"/>
      <c r="M20" s="732">
        <v>6.0000000000000089</v>
      </c>
      <c r="N20" s="253"/>
      <c r="O20" s="732">
        <v>39.000000000000107</v>
      </c>
      <c r="P20" s="253"/>
      <c r="Q20" s="732">
        <v>34.999999999999964</v>
      </c>
      <c r="R20" s="253"/>
      <c r="S20" s="732">
        <v>14.999999999999996</v>
      </c>
      <c r="T20" s="253"/>
      <c r="U20" s="732">
        <v>0.99999999999999967</v>
      </c>
      <c r="V20" s="253"/>
      <c r="W20" s="732">
        <v>0</v>
      </c>
      <c r="X20" s="253"/>
      <c r="Y20" s="253"/>
      <c r="Z20" s="732">
        <v>13.792899408284027</v>
      </c>
      <c r="AA20" s="253"/>
      <c r="AB20" s="732">
        <v>6.9999999999999929</v>
      </c>
      <c r="AC20" s="253"/>
      <c r="AD20" s="147">
        <v>0</v>
      </c>
      <c r="AE20" s="147">
        <v>11550.76</v>
      </c>
      <c r="AF20" s="147">
        <v>0</v>
      </c>
      <c r="AG20" s="147">
        <v>920524.61089585547</v>
      </c>
      <c r="AH20" s="117">
        <v>1</v>
      </c>
      <c r="AK20" s="148">
        <v>0</v>
      </c>
      <c r="AL20" s="148">
        <v>67.728499999999997</v>
      </c>
      <c r="AM20" s="148">
        <v>32.999999999999893</v>
      </c>
      <c r="AN20" s="148">
        <v>6.0000000000000089</v>
      </c>
      <c r="AO20" s="148">
        <v>39.000000000000107</v>
      </c>
      <c r="AP20" s="148">
        <v>34.999999999999964</v>
      </c>
      <c r="AQ20" s="148">
        <v>14.999999999999996</v>
      </c>
      <c r="AR20" s="148">
        <v>0.99999999999999967</v>
      </c>
      <c r="AW20" s="42">
        <v>259</v>
      </c>
      <c r="AX20" s="42">
        <v>0</v>
      </c>
      <c r="AY20" s="250"/>
    </row>
    <row r="21" spans="1:51" x14ac:dyDescent="0.2">
      <c r="A21" s="13" t="s">
        <v>21</v>
      </c>
      <c r="B21" s="11">
        <v>2448</v>
      </c>
      <c r="C21" s="147">
        <v>316</v>
      </c>
      <c r="D21" s="147">
        <v>316</v>
      </c>
      <c r="E21" s="253"/>
      <c r="F21" s="253"/>
      <c r="G21" s="253"/>
      <c r="H21" s="253"/>
      <c r="I21" s="732">
        <v>96.38</v>
      </c>
      <c r="J21" s="733"/>
      <c r="K21" s="732">
        <v>57.999999999999886</v>
      </c>
      <c r="L21" s="253"/>
      <c r="M21" s="732">
        <v>10.000000000000012</v>
      </c>
      <c r="N21" s="253"/>
      <c r="O21" s="732">
        <v>56.999999999999986</v>
      </c>
      <c r="P21" s="253"/>
      <c r="Q21" s="732">
        <v>31</v>
      </c>
      <c r="R21" s="253"/>
      <c r="S21" s="732">
        <v>26.999999999999986</v>
      </c>
      <c r="T21" s="253"/>
      <c r="U21" s="732">
        <v>0</v>
      </c>
      <c r="V21" s="253"/>
      <c r="W21" s="732">
        <v>0</v>
      </c>
      <c r="X21" s="253"/>
      <c r="Y21" s="253"/>
      <c r="Z21" s="732">
        <v>3.0095238095238082</v>
      </c>
      <c r="AA21" s="253"/>
      <c r="AB21" s="732">
        <v>10.000000000000012</v>
      </c>
      <c r="AC21" s="253"/>
      <c r="AD21" s="147">
        <v>0</v>
      </c>
      <c r="AE21" s="147">
        <v>17028.439999999999</v>
      </c>
      <c r="AF21" s="147">
        <v>0</v>
      </c>
      <c r="AG21" s="147">
        <v>1081905.1133445874</v>
      </c>
      <c r="AH21" s="117">
        <v>1</v>
      </c>
      <c r="AK21" s="148">
        <v>0</v>
      </c>
      <c r="AL21" s="148">
        <v>96.38</v>
      </c>
      <c r="AM21" s="148">
        <v>57.999999999999886</v>
      </c>
      <c r="AN21" s="148">
        <v>10.000000000000012</v>
      </c>
      <c r="AO21" s="148">
        <v>56.999999999999986</v>
      </c>
      <c r="AP21" s="148">
        <v>31</v>
      </c>
      <c r="AQ21" s="148">
        <v>26.999999999999986</v>
      </c>
      <c r="AR21" s="148">
        <v>0</v>
      </c>
      <c r="AW21" s="42">
        <v>319</v>
      </c>
      <c r="AX21" s="42">
        <v>0</v>
      </c>
      <c r="AY21" s="250"/>
    </row>
    <row r="22" spans="1:51" x14ac:dyDescent="0.2">
      <c r="A22" s="145" t="s">
        <v>23</v>
      </c>
      <c r="B22" s="146">
        <v>2467</v>
      </c>
      <c r="C22" s="147">
        <v>349</v>
      </c>
      <c r="D22" s="147">
        <v>349</v>
      </c>
      <c r="E22" s="253"/>
      <c r="F22" s="253"/>
      <c r="G22" s="253"/>
      <c r="H22" s="253"/>
      <c r="I22" s="732">
        <v>101.9246778761062</v>
      </c>
      <c r="J22" s="733"/>
      <c r="K22" s="732">
        <v>29.336231884057952</v>
      </c>
      <c r="L22" s="253"/>
      <c r="M22" s="732">
        <v>31.359420289855066</v>
      </c>
      <c r="N22" s="253"/>
      <c r="O22" s="732">
        <v>102.17101449275368</v>
      </c>
      <c r="P22" s="253"/>
      <c r="Q22" s="732">
        <v>6.0695652173913093</v>
      </c>
      <c r="R22" s="253"/>
      <c r="S22" s="732">
        <v>22.255072463768119</v>
      </c>
      <c r="T22" s="253"/>
      <c r="U22" s="732">
        <v>3.0347826086956511</v>
      </c>
      <c r="V22" s="253"/>
      <c r="W22" s="732">
        <v>1.0294985250737463</v>
      </c>
      <c r="X22" s="253"/>
      <c r="Y22" s="253"/>
      <c r="Z22" s="732">
        <v>4.8304498269896232</v>
      </c>
      <c r="AA22" s="253"/>
      <c r="AB22" s="732">
        <v>8.0000000000000124</v>
      </c>
      <c r="AC22" s="253"/>
      <c r="AD22" s="130">
        <v>0</v>
      </c>
      <c r="AE22" s="754">
        <v>12741.56</v>
      </c>
      <c r="AF22" s="147">
        <v>0</v>
      </c>
      <c r="AG22" s="743">
        <v>1337208.6205544111</v>
      </c>
      <c r="AH22" s="117">
        <v>1</v>
      </c>
      <c r="AK22" s="148">
        <v>0</v>
      </c>
      <c r="AL22" s="148">
        <v>101.9246778761062</v>
      </c>
      <c r="AM22" s="148">
        <v>29.336231884057952</v>
      </c>
      <c r="AN22" s="148">
        <v>31.359420289855066</v>
      </c>
      <c r="AO22" s="148">
        <v>102.17101449275368</v>
      </c>
      <c r="AP22" s="148">
        <v>6.0695652173913093</v>
      </c>
      <c r="AQ22" s="148">
        <v>22.255072463768119</v>
      </c>
      <c r="AR22" s="148">
        <v>3.0347826086956511</v>
      </c>
      <c r="AT22" t="s">
        <v>338</v>
      </c>
      <c r="AW22" s="62">
        <v>341</v>
      </c>
      <c r="AX22" s="42">
        <v>0</v>
      </c>
      <c r="AY22" s="250"/>
    </row>
    <row r="23" spans="1:51" x14ac:dyDescent="0.2">
      <c r="A23" s="13" t="s">
        <v>24</v>
      </c>
      <c r="B23" s="11">
        <v>2455</v>
      </c>
      <c r="C23" s="147">
        <v>360</v>
      </c>
      <c r="D23" s="147">
        <v>360</v>
      </c>
      <c r="E23" s="253"/>
      <c r="F23" s="253"/>
      <c r="G23" s="253"/>
      <c r="H23" s="253"/>
      <c r="I23" s="732">
        <v>47.015999999999998</v>
      </c>
      <c r="J23" s="733"/>
      <c r="K23" s="732">
        <v>2.0055710306406671</v>
      </c>
      <c r="L23" s="253"/>
      <c r="M23" s="732">
        <v>94.261838440111561</v>
      </c>
      <c r="N23" s="253"/>
      <c r="O23" s="732">
        <v>1.0027855153203336</v>
      </c>
      <c r="P23" s="253"/>
      <c r="Q23" s="732">
        <v>7.0194986072423271</v>
      </c>
      <c r="R23" s="253"/>
      <c r="S23" s="732">
        <v>4.01114206128132</v>
      </c>
      <c r="T23" s="253"/>
      <c r="U23" s="732">
        <v>2.0055710306406671</v>
      </c>
      <c r="V23" s="253"/>
      <c r="W23" s="732">
        <v>0</v>
      </c>
      <c r="X23" s="253"/>
      <c r="Y23" s="253"/>
      <c r="Z23" s="732">
        <v>22.5</v>
      </c>
      <c r="AA23" s="253"/>
      <c r="AB23" s="732">
        <v>3.9999999999999956</v>
      </c>
      <c r="AC23" s="253"/>
      <c r="AD23" s="147">
        <v>0</v>
      </c>
      <c r="AE23" s="147">
        <v>24768.639999999999</v>
      </c>
      <c r="AF23" s="147">
        <v>0</v>
      </c>
      <c r="AG23" s="147">
        <v>1165073.706345778</v>
      </c>
      <c r="AH23" s="117">
        <v>1</v>
      </c>
      <c r="AK23" s="148">
        <v>0</v>
      </c>
      <c r="AL23" s="148">
        <v>47.015999999999998</v>
      </c>
      <c r="AM23" s="148">
        <v>2.0055710306406671</v>
      </c>
      <c r="AN23" s="148">
        <v>94.261838440111561</v>
      </c>
      <c r="AO23" s="148">
        <v>1.0027855153203336</v>
      </c>
      <c r="AP23" s="148">
        <v>7.0194986072423271</v>
      </c>
      <c r="AQ23" s="148">
        <v>4.01114206128132</v>
      </c>
      <c r="AR23" s="148">
        <v>2.0055710306406671</v>
      </c>
      <c r="AW23" s="42">
        <v>358</v>
      </c>
      <c r="AX23" s="42">
        <v>0</v>
      </c>
      <c r="AY23" s="250"/>
    </row>
    <row r="24" spans="1:51" x14ac:dyDescent="0.2">
      <c r="A24" s="13" t="s">
        <v>25</v>
      </c>
      <c r="B24" s="12">
        <v>5203</v>
      </c>
      <c r="C24" s="147">
        <v>482</v>
      </c>
      <c r="D24" s="147">
        <v>482</v>
      </c>
      <c r="E24" s="253"/>
      <c r="F24" s="253"/>
      <c r="G24" s="253"/>
      <c r="H24" s="253"/>
      <c r="I24" s="732">
        <v>86.181599999999989</v>
      </c>
      <c r="J24" s="733"/>
      <c r="K24" s="732">
        <v>3.0251046025104591</v>
      </c>
      <c r="L24" s="253"/>
      <c r="M24" s="732">
        <v>105.87866108786601</v>
      </c>
      <c r="N24" s="253"/>
      <c r="O24" s="732">
        <v>4.0334728033472782</v>
      </c>
      <c r="P24" s="253"/>
      <c r="Q24" s="732">
        <v>8.0669456066945759</v>
      </c>
      <c r="R24" s="253"/>
      <c r="S24" s="732">
        <v>4.0334728033472782</v>
      </c>
      <c r="T24" s="253"/>
      <c r="U24" s="732">
        <v>7.0585774058577178</v>
      </c>
      <c r="V24" s="253"/>
      <c r="W24" s="732">
        <v>0</v>
      </c>
      <c r="X24" s="253"/>
      <c r="Y24" s="253"/>
      <c r="Z24" s="732">
        <v>7.0000000000000071</v>
      </c>
      <c r="AA24" s="253"/>
      <c r="AB24" s="732">
        <v>16.000000000000018</v>
      </c>
      <c r="AC24" s="253"/>
      <c r="AD24" s="147">
        <v>0</v>
      </c>
      <c r="AE24" s="147">
        <v>4418.5439999999981</v>
      </c>
      <c r="AF24" s="147">
        <v>0</v>
      </c>
      <c r="AG24" s="147">
        <v>1513415.4545293914</v>
      </c>
      <c r="AH24" s="117">
        <v>1</v>
      </c>
      <c r="AK24" s="148">
        <v>0</v>
      </c>
      <c r="AL24" s="148">
        <v>86.181599999999989</v>
      </c>
      <c r="AM24" s="148">
        <v>3.0251046025104591</v>
      </c>
      <c r="AN24" s="148">
        <v>105.87866108786601</v>
      </c>
      <c r="AO24" s="148">
        <v>4.0334728033472782</v>
      </c>
      <c r="AP24" s="148">
        <v>8.0669456066945759</v>
      </c>
      <c r="AQ24" s="148">
        <v>4.0334728033472782</v>
      </c>
      <c r="AR24" s="148">
        <v>7.0585774058577178</v>
      </c>
      <c r="AW24" s="42">
        <v>480</v>
      </c>
      <c r="AX24" s="42">
        <v>0</v>
      </c>
      <c r="AY24" s="250"/>
    </row>
    <row r="25" spans="1:51" x14ac:dyDescent="0.2">
      <c r="A25" s="13" t="s">
        <v>26</v>
      </c>
      <c r="B25" s="11">
        <v>2451</v>
      </c>
      <c r="C25" s="147">
        <v>450</v>
      </c>
      <c r="D25" s="147">
        <v>450</v>
      </c>
      <c r="E25" s="253"/>
      <c r="F25" s="253"/>
      <c r="G25" s="253"/>
      <c r="H25" s="253"/>
      <c r="I25" s="732">
        <v>90.405000000000001</v>
      </c>
      <c r="J25" s="733"/>
      <c r="K25" s="732">
        <v>28.125</v>
      </c>
      <c r="L25" s="253"/>
      <c r="M25" s="732">
        <v>122.54464285714305</v>
      </c>
      <c r="N25" s="253"/>
      <c r="O25" s="732">
        <v>80.357142857143046</v>
      </c>
      <c r="P25" s="253"/>
      <c r="Q25" s="732">
        <v>4.0178571428571432</v>
      </c>
      <c r="R25" s="253"/>
      <c r="S25" s="732">
        <v>8.035714285714306</v>
      </c>
      <c r="T25" s="253"/>
      <c r="U25" s="732">
        <v>1.0044642857142869</v>
      </c>
      <c r="V25" s="253"/>
      <c r="W25" s="732">
        <v>0</v>
      </c>
      <c r="X25" s="253"/>
      <c r="Y25" s="253"/>
      <c r="Z25" s="732">
        <v>4.7745358090185608</v>
      </c>
      <c r="AA25" s="253"/>
      <c r="AB25" s="732">
        <v>23.999999999999986</v>
      </c>
      <c r="AC25" s="253"/>
      <c r="AD25" s="147">
        <v>0</v>
      </c>
      <c r="AE25" s="147">
        <v>22982.44</v>
      </c>
      <c r="AF25" s="147">
        <v>0</v>
      </c>
      <c r="AG25" s="147">
        <v>1492784.9022318041</v>
      </c>
      <c r="AH25" s="117">
        <v>1</v>
      </c>
      <c r="AK25" s="148">
        <v>0</v>
      </c>
      <c r="AL25" s="148">
        <v>90.405000000000001</v>
      </c>
      <c r="AM25" s="148">
        <v>28.125</v>
      </c>
      <c r="AN25" s="148">
        <v>122.54464285714305</v>
      </c>
      <c r="AO25" s="148">
        <v>80.357142857143046</v>
      </c>
      <c r="AP25" s="148">
        <v>4.0178571428571432</v>
      </c>
      <c r="AQ25" s="148">
        <v>8.035714285714306</v>
      </c>
      <c r="AR25" s="148">
        <v>1.0044642857142869</v>
      </c>
      <c r="AW25" s="42">
        <v>436</v>
      </c>
      <c r="AX25" s="42">
        <v>0</v>
      </c>
      <c r="AY25" s="250"/>
    </row>
    <row r="26" spans="1:51" x14ac:dyDescent="0.2">
      <c r="A26" s="13" t="s">
        <v>27</v>
      </c>
      <c r="B26" s="11">
        <v>2409</v>
      </c>
      <c r="C26" s="147">
        <v>550</v>
      </c>
      <c r="D26" s="147">
        <v>550</v>
      </c>
      <c r="E26" s="253"/>
      <c r="F26" s="253"/>
      <c r="G26" s="253"/>
      <c r="H26" s="253"/>
      <c r="I26" s="732">
        <v>164.505</v>
      </c>
      <c r="J26" s="733"/>
      <c r="K26" s="732">
        <v>4.03669724770642</v>
      </c>
      <c r="L26" s="253"/>
      <c r="M26" s="732">
        <v>81.743119266054947</v>
      </c>
      <c r="N26" s="253"/>
      <c r="O26" s="732">
        <v>279.54128440366975</v>
      </c>
      <c r="P26" s="253"/>
      <c r="Q26" s="732">
        <v>25.229357798165125</v>
      </c>
      <c r="R26" s="253"/>
      <c r="S26" s="732">
        <v>8.07339449541284</v>
      </c>
      <c r="T26" s="253"/>
      <c r="U26" s="732">
        <v>1.009174311926605</v>
      </c>
      <c r="V26" s="253"/>
      <c r="W26" s="732">
        <v>0</v>
      </c>
      <c r="X26" s="253"/>
      <c r="Y26" s="253"/>
      <c r="Z26" s="732">
        <v>210.02109704641342</v>
      </c>
      <c r="AA26" s="253"/>
      <c r="AB26" s="732">
        <v>51.999999999999979</v>
      </c>
      <c r="AC26" s="253"/>
      <c r="AD26" s="147">
        <v>0</v>
      </c>
      <c r="AE26" s="147">
        <v>31675.279999999999</v>
      </c>
      <c r="AF26" s="147">
        <v>0</v>
      </c>
      <c r="AG26" s="147">
        <v>2284076.4632857232</v>
      </c>
      <c r="AH26" s="117">
        <v>1</v>
      </c>
      <c r="AK26" s="148">
        <v>0</v>
      </c>
      <c r="AL26" s="148">
        <v>164.505</v>
      </c>
      <c r="AM26" s="148">
        <v>4.03669724770642</v>
      </c>
      <c r="AN26" s="148">
        <v>81.743119266054947</v>
      </c>
      <c r="AO26" s="148">
        <v>279.54128440366975</v>
      </c>
      <c r="AP26" s="148">
        <v>25.229357798165125</v>
      </c>
      <c r="AQ26" s="148">
        <v>8.07339449541284</v>
      </c>
      <c r="AR26" s="148">
        <v>1.009174311926605</v>
      </c>
      <c r="AW26" s="42">
        <v>546</v>
      </c>
      <c r="AX26" s="42">
        <v>0</v>
      </c>
      <c r="AY26" s="250"/>
    </row>
    <row r="27" spans="1:51" x14ac:dyDescent="0.2">
      <c r="A27" s="13" t="s">
        <v>28</v>
      </c>
      <c r="B27" s="11">
        <v>3158</v>
      </c>
      <c r="C27" s="147">
        <v>120</v>
      </c>
      <c r="D27" s="147">
        <v>120</v>
      </c>
      <c r="E27" s="253"/>
      <c r="F27" s="253"/>
      <c r="G27" s="253"/>
      <c r="H27" s="253"/>
      <c r="I27" s="732">
        <v>38.315999999999995</v>
      </c>
      <c r="J27" s="733"/>
      <c r="K27" s="732">
        <v>0</v>
      </c>
      <c r="L27" s="253"/>
      <c r="M27" s="732">
        <v>81.999999999999957</v>
      </c>
      <c r="N27" s="253"/>
      <c r="O27" s="732">
        <v>15</v>
      </c>
      <c r="P27" s="253"/>
      <c r="Q27" s="732">
        <v>15.999999999999959</v>
      </c>
      <c r="R27" s="253"/>
      <c r="S27" s="732">
        <v>2.000000000000004</v>
      </c>
      <c r="T27" s="253"/>
      <c r="U27" s="732">
        <v>0</v>
      </c>
      <c r="V27" s="253"/>
      <c r="W27" s="732">
        <v>0</v>
      </c>
      <c r="X27" s="253"/>
      <c r="Y27" s="253"/>
      <c r="Z27" s="732">
        <v>99</v>
      </c>
      <c r="AA27" s="253"/>
      <c r="AB27" s="732">
        <v>3.9999999999999956</v>
      </c>
      <c r="AC27" s="253"/>
      <c r="AD27" s="147">
        <v>0</v>
      </c>
      <c r="AE27" s="147">
        <v>1399.5654399999994</v>
      </c>
      <c r="AF27" s="147">
        <v>0</v>
      </c>
      <c r="AG27" s="147">
        <v>581060.25560748973</v>
      </c>
      <c r="AH27" s="117">
        <v>1</v>
      </c>
      <c r="AK27" s="148">
        <v>0</v>
      </c>
      <c r="AL27" s="148">
        <v>38.315999999999995</v>
      </c>
      <c r="AM27" s="148">
        <v>0</v>
      </c>
      <c r="AN27" s="148">
        <v>81.999999999999957</v>
      </c>
      <c r="AO27" s="148">
        <v>15</v>
      </c>
      <c r="AP27" s="148">
        <v>15.999999999999959</v>
      </c>
      <c r="AQ27" s="148">
        <v>2.000000000000004</v>
      </c>
      <c r="AR27" s="148">
        <v>0</v>
      </c>
      <c r="AW27" s="42">
        <v>119</v>
      </c>
      <c r="AX27" s="42">
        <v>0</v>
      </c>
      <c r="AY27" s="250"/>
    </row>
    <row r="28" spans="1:51" x14ac:dyDescent="0.2">
      <c r="A28" s="13" t="s">
        <v>29</v>
      </c>
      <c r="B28" s="11">
        <v>2619</v>
      </c>
      <c r="C28" s="147">
        <v>183</v>
      </c>
      <c r="D28" s="147">
        <v>183</v>
      </c>
      <c r="E28" s="253"/>
      <c r="F28" s="253"/>
      <c r="G28" s="253"/>
      <c r="H28" s="253"/>
      <c r="I28" s="732">
        <v>126.3798</v>
      </c>
      <c r="J28" s="733"/>
      <c r="K28" s="732">
        <v>3.0164835164835195</v>
      </c>
      <c r="L28" s="253"/>
      <c r="M28" s="732">
        <v>3.0164835164835195</v>
      </c>
      <c r="N28" s="253"/>
      <c r="O28" s="732">
        <v>38.208791208791247</v>
      </c>
      <c r="P28" s="253"/>
      <c r="Q28" s="732">
        <v>0</v>
      </c>
      <c r="R28" s="253"/>
      <c r="S28" s="732">
        <v>138.75824175824172</v>
      </c>
      <c r="T28" s="253"/>
      <c r="U28" s="732">
        <v>0</v>
      </c>
      <c r="V28" s="253"/>
      <c r="W28" s="732">
        <v>1.011049723756906</v>
      </c>
      <c r="X28" s="253"/>
      <c r="Y28" s="253"/>
      <c r="Z28" s="732">
        <v>14.352941176470589</v>
      </c>
      <c r="AA28" s="253"/>
      <c r="AB28" s="732">
        <v>14.000000000000007</v>
      </c>
      <c r="AC28" s="253"/>
      <c r="AD28" s="147">
        <v>0</v>
      </c>
      <c r="AE28" s="147">
        <v>27150.240000000002</v>
      </c>
      <c r="AF28" s="147">
        <v>0</v>
      </c>
      <c r="AG28" s="147">
        <v>891498.25167752989</v>
      </c>
      <c r="AH28" s="117">
        <v>1</v>
      </c>
      <c r="AK28" s="148">
        <v>0</v>
      </c>
      <c r="AL28" s="148">
        <v>126.3798</v>
      </c>
      <c r="AM28" s="148">
        <v>3.0164835164835195</v>
      </c>
      <c r="AN28" s="148">
        <v>3.0164835164835195</v>
      </c>
      <c r="AO28" s="148">
        <v>38.208791208791247</v>
      </c>
      <c r="AP28" s="148">
        <v>0</v>
      </c>
      <c r="AQ28" s="148">
        <v>138.75824175824172</v>
      </c>
      <c r="AR28" s="148">
        <v>0</v>
      </c>
      <c r="AW28" s="42">
        <v>177</v>
      </c>
      <c r="AX28" s="42">
        <v>0</v>
      </c>
      <c r="AY28" s="250"/>
    </row>
    <row r="29" spans="1:51" x14ac:dyDescent="0.2">
      <c r="A29" s="13" t="s">
        <v>30</v>
      </c>
      <c r="B29" s="11">
        <v>2518</v>
      </c>
      <c r="C29" s="147">
        <v>281</v>
      </c>
      <c r="D29" s="147">
        <v>281</v>
      </c>
      <c r="E29" s="253"/>
      <c r="F29" s="253"/>
      <c r="G29" s="253"/>
      <c r="H29" s="253"/>
      <c r="I29" s="732">
        <v>128.30459999999999</v>
      </c>
      <c r="J29" s="733"/>
      <c r="K29" s="732">
        <v>1.0035714285714281</v>
      </c>
      <c r="L29" s="253"/>
      <c r="M29" s="732">
        <v>58.207142857142813</v>
      </c>
      <c r="N29" s="253"/>
      <c r="O29" s="732">
        <v>118.42142857142845</v>
      </c>
      <c r="P29" s="253"/>
      <c r="Q29" s="732">
        <v>25.089285714285719</v>
      </c>
      <c r="R29" s="253"/>
      <c r="S29" s="732">
        <v>36.128571428571547</v>
      </c>
      <c r="T29" s="253"/>
      <c r="U29" s="732">
        <v>16.057142857142846</v>
      </c>
      <c r="V29" s="253"/>
      <c r="W29" s="732">
        <v>0</v>
      </c>
      <c r="X29" s="253"/>
      <c r="Y29" s="253"/>
      <c r="Z29" s="732">
        <v>119.36283185840711</v>
      </c>
      <c r="AA29" s="253"/>
      <c r="AB29" s="732">
        <v>61.000000000000043</v>
      </c>
      <c r="AC29" s="253"/>
      <c r="AD29" s="147">
        <v>0</v>
      </c>
      <c r="AE29" s="147">
        <v>11012.903200000001</v>
      </c>
      <c r="AF29" s="147">
        <v>0</v>
      </c>
      <c r="AG29" s="147">
        <v>1261377.7891481756</v>
      </c>
      <c r="AH29" s="117">
        <v>1</v>
      </c>
      <c r="AK29" s="148">
        <v>0</v>
      </c>
      <c r="AL29" s="148">
        <v>128.30459999999999</v>
      </c>
      <c r="AM29" s="148">
        <v>1.0035714285714281</v>
      </c>
      <c r="AN29" s="148">
        <v>58.207142857142813</v>
      </c>
      <c r="AO29" s="148">
        <v>118.42142857142845</v>
      </c>
      <c r="AP29" s="148">
        <v>25.089285714285719</v>
      </c>
      <c r="AQ29" s="148">
        <v>36.128571428571547</v>
      </c>
      <c r="AR29" s="148">
        <v>16.057142857142846</v>
      </c>
      <c r="AW29" s="42">
        <v>258</v>
      </c>
      <c r="AX29" s="42">
        <v>0</v>
      </c>
      <c r="AY29" s="250"/>
    </row>
    <row r="30" spans="1:51" x14ac:dyDescent="0.2">
      <c r="A30" s="13" t="s">
        <v>31</v>
      </c>
      <c r="B30" s="11">
        <v>2457</v>
      </c>
      <c r="C30" s="147">
        <v>352</v>
      </c>
      <c r="D30" s="147">
        <v>352</v>
      </c>
      <c r="E30" s="253"/>
      <c r="F30" s="253"/>
      <c r="G30" s="253"/>
      <c r="H30" s="253"/>
      <c r="I30" s="732">
        <v>86.204799999999992</v>
      </c>
      <c r="J30" s="733"/>
      <c r="K30" s="732">
        <v>15.0857142857143</v>
      </c>
      <c r="L30" s="253"/>
      <c r="M30" s="732">
        <v>1.0057142857142867</v>
      </c>
      <c r="N30" s="253"/>
      <c r="O30" s="732">
        <v>86.491428571428671</v>
      </c>
      <c r="P30" s="253"/>
      <c r="Q30" s="732">
        <v>20.1142857142857</v>
      </c>
      <c r="R30" s="253"/>
      <c r="S30" s="732">
        <v>4.0228571428571334</v>
      </c>
      <c r="T30" s="253"/>
      <c r="U30" s="732">
        <v>10.057142857142866</v>
      </c>
      <c r="V30" s="253"/>
      <c r="W30" s="732">
        <v>1.0262390670553936</v>
      </c>
      <c r="X30" s="253"/>
      <c r="Y30" s="253"/>
      <c r="Z30" s="732">
        <v>26.000000000000011</v>
      </c>
      <c r="AA30" s="253"/>
      <c r="AB30" s="732">
        <v>16.999999999999986</v>
      </c>
      <c r="AC30" s="253"/>
      <c r="AD30" s="147">
        <v>0</v>
      </c>
      <c r="AE30" s="147">
        <v>19817.2</v>
      </c>
      <c r="AF30" s="147">
        <v>0</v>
      </c>
      <c r="AG30" s="147">
        <v>1184776.2224438088</v>
      </c>
      <c r="AH30" s="117">
        <v>1</v>
      </c>
      <c r="AK30" s="148">
        <v>0</v>
      </c>
      <c r="AL30" s="148">
        <v>86.204799999999992</v>
      </c>
      <c r="AM30" s="148">
        <v>15.0857142857143</v>
      </c>
      <c r="AN30" s="148">
        <v>1.0057142857142867</v>
      </c>
      <c r="AO30" s="148">
        <v>86.491428571428671</v>
      </c>
      <c r="AP30" s="148">
        <v>20.1142857142857</v>
      </c>
      <c r="AQ30" s="148">
        <v>4.0228571428571334</v>
      </c>
      <c r="AR30" s="148">
        <v>10.057142857142866</v>
      </c>
      <c r="AW30" s="42">
        <v>342</v>
      </c>
      <c r="AX30" s="42">
        <v>0</v>
      </c>
      <c r="AY30" s="250"/>
    </row>
    <row r="31" spans="1:51" x14ac:dyDescent="0.2">
      <c r="A31" s="741" t="s">
        <v>1018</v>
      </c>
      <c r="B31" s="11">
        <v>2515</v>
      </c>
      <c r="C31" s="147">
        <v>176</v>
      </c>
      <c r="D31" s="147">
        <v>176</v>
      </c>
      <c r="E31" s="253"/>
      <c r="F31" s="253"/>
      <c r="G31" s="253"/>
      <c r="H31" s="253"/>
      <c r="I31" s="732">
        <v>101.25280000000001</v>
      </c>
      <c r="J31" s="733"/>
      <c r="K31" s="732">
        <v>10.05714285714285</v>
      </c>
      <c r="L31" s="253"/>
      <c r="M31" s="732">
        <v>1.0057142857142849</v>
      </c>
      <c r="N31" s="253"/>
      <c r="O31" s="732">
        <v>75.428571428571502</v>
      </c>
      <c r="P31" s="253"/>
      <c r="Q31" s="732">
        <v>52.297142857142831</v>
      </c>
      <c r="R31" s="253"/>
      <c r="S31" s="732">
        <v>3.0171428571428494</v>
      </c>
      <c r="T31" s="253"/>
      <c r="U31" s="732">
        <v>18.102857142857168</v>
      </c>
      <c r="V31" s="253"/>
      <c r="W31" s="732">
        <v>0</v>
      </c>
      <c r="X31" s="253"/>
      <c r="Y31" s="253"/>
      <c r="Z31" s="732">
        <v>26.520547945205426</v>
      </c>
      <c r="AA31" s="253"/>
      <c r="AB31" s="732">
        <v>17.999999999999954</v>
      </c>
      <c r="AC31" s="253"/>
      <c r="AD31" s="147">
        <v>0</v>
      </c>
      <c r="AE31" s="147">
        <v>3429.503999999999</v>
      </c>
      <c r="AF31" s="147">
        <v>0</v>
      </c>
      <c r="AG31" s="147">
        <v>861149.92343451176</v>
      </c>
      <c r="AH31" s="117">
        <v>1</v>
      </c>
      <c r="AK31" s="148">
        <v>0</v>
      </c>
      <c r="AL31" s="148">
        <v>101.25280000000001</v>
      </c>
      <c r="AM31" s="148">
        <v>10.05714285714285</v>
      </c>
      <c r="AN31" s="148">
        <v>1.0057142857142849</v>
      </c>
      <c r="AO31" s="148">
        <v>75.428571428571502</v>
      </c>
      <c r="AP31" s="148">
        <v>52.297142857142831</v>
      </c>
      <c r="AQ31" s="148">
        <v>3.0171428571428494</v>
      </c>
      <c r="AR31" s="148">
        <v>18.102857142857168</v>
      </c>
      <c r="AW31" s="42">
        <v>186</v>
      </c>
      <c r="AX31" s="42">
        <v>0</v>
      </c>
      <c r="AY31" s="250"/>
    </row>
    <row r="32" spans="1:51" x14ac:dyDescent="0.2">
      <c r="A32" s="13" t="s">
        <v>33</v>
      </c>
      <c r="B32" s="11">
        <v>2002</v>
      </c>
      <c r="C32" s="147">
        <v>424</v>
      </c>
      <c r="D32" s="147">
        <v>424</v>
      </c>
      <c r="E32" s="253"/>
      <c r="F32" s="253"/>
      <c r="G32" s="253"/>
      <c r="H32" s="253"/>
      <c r="I32" s="732">
        <v>43.205599999999997</v>
      </c>
      <c r="J32" s="733"/>
      <c r="K32" s="732">
        <v>95.450236966824519</v>
      </c>
      <c r="L32" s="253"/>
      <c r="M32" s="732">
        <v>1.004739336492892</v>
      </c>
      <c r="N32" s="253"/>
      <c r="O32" s="732">
        <v>2.0094786729857841</v>
      </c>
      <c r="P32" s="253"/>
      <c r="Q32" s="732">
        <v>2.0094786729857841</v>
      </c>
      <c r="R32" s="253"/>
      <c r="S32" s="732">
        <v>0</v>
      </c>
      <c r="T32" s="253"/>
      <c r="U32" s="732">
        <v>0</v>
      </c>
      <c r="V32" s="253"/>
      <c r="W32" s="732">
        <v>0</v>
      </c>
      <c r="X32" s="253"/>
      <c r="Y32" s="253"/>
      <c r="Z32" s="732">
        <v>13.86376021798365</v>
      </c>
      <c r="AA32" s="253"/>
      <c r="AB32" s="732">
        <v>19.000000000000007</v>
      </c>
      <c r="AC32" s="253"/>
      <c r="AD32" s="147">
        <v>0</v>
      </c>
      <c r="AE32" s="147">
        <v>44059.6</v>
      </c>
      <c r="AF32" s="147">
        <v>0</v>
      </c>
      <c r="AG32" s="147">
        <v>1296438.460146199</v>
      </c>
      <c r="AH32" s="117">
        <v>1</v>
      </c>
      <c r="AK32" s="148">
        <v>0</v>
      </c>
      <c r="AL32" s="148">
        <v>43.205599999999997</v>
      </c>
      <c r="AM32" s="148">
        <v>95.450236966824519</v>
      </c>
      <c r="AN32" s="148">
        <v>1.004739336492892</v>
      </c>
      <c r="AO32" s="148">
        <v>2.0094786729857841</v>
      </c>
      <c r="AP32" s="148">
        <v>2.0094786729857841</v>
      </c>
      <c r="AQ32" s="148">
        <v>0</v>
      </c>
      <c r="AR32" s="148">
        <v>0</v>
      </c>
      <c r="AW32" s="42">
        <v>423</v>
      </c>
      <c r="AX32" s="42">
        <v>0</v>
      </c>
      <c r="AY32" s="250"/>
    </row>
    <row r="33" spans="1:51" x14ac:dyDescent="0.2">
      <c r="A33" s="13" t="s">
        <v>34</v>
      </c>
      <c r="B33" s="11">
        <v>3544</v>
      </c>
      <c r="C33" s="147">
        <v>536</v>
      </c>
      <c r="D33" s="147">
        <v>536</v>
      </c>
      <c r="E33" s="253"/>
      <c r="F33" s="253"/>
      <c r="G33" s="253"/>
      <c r="H33" s="253"/>
      <c r="I33" s="732">
        <v>195.47919999999999</v>
      </c>
      <c r="J33" s="733"/>
      <c r="K33" s="732">
        <v>4</v>
      </c>
      <c r="L33" s="253"/>
      <c r="M33" s="732">
        <v>90.999999999999972</v>
      </c>
      <c r="N33" s="253"/>
      <c r="O33" s="732">
        <v>231.9999999999998</v>
      </c>
      <c r="P33" s="253"/>
      <c r="Q33" s="732">
        <v>88.000000000000028</v>
      </c>
      <c r="R33" s="253"/>
      <c r="S33" s="732">
        <v>93.999999999999886</v>
      </c>
      <c r="T33" s="253"/>
      <c r="U33" s="732">
        <v>8.0000000000000213</v>
      </c>
      <c r="V33" s="253"/>
      <c r="W33" s="732">
        <v>0</v>
      </c>
      <c r="X33" s="253"/>
      <c r="Y33" s="253"/>
      <c r="Z33" s="732">
        <v>256.73949579831907</v>
      </c>
      <c r="AA33" s="253"/>
      <c r="AB33" s="732">
        <v>58.00000000000022</v>
      </c>
      <c r="AC33" s="253"/>
      <c r="AD33" s="147">
        <v>0</v>
      </c>
      <c r="AE33" s="147">
        <v>70495.360000000001</v>
      </c>
      <c r="AF33" s="147">
        <v>122519.2224554377</v>
      </c>
      <c r="AG33" s="147">
        <v>2544136.673057388</v>
      </c>
      <c r="AH33" s="117">
        <v>1</v>
      </c>
      <c r="AK33" s="148">
        <v>0</v>
      </c>
      <c r="AL33" s="148">
        <v>195.47919999999999</v>
      </c>
      <c r="AM33" s="148">
        <v>4</v>
      </c>
      <c r="AN33" s="148">
        <v>90.999999999999972</v>
      </c>
      <c r="AO33" s="148">
        <v>231.9999999999998</v>
      </c>
      <c r="AP33" s="148">
        <v>88.000000000000028</v>
      </c>
      <c r="AQ33" s="148">
        <v>93.999999999999886</v>
      </c>
      <c r="AR33" s="148">
        <v>8.0000000000000213</v>
      </c>
      <c r="AW33" s="42">
        <v>520</v>
      </c>
      <c r="AX33" s="42">
        <v>0</v>
      </c>
      <c r="AY33" s="250"/>
    </row>
    <row r="34" spans="1:51" x14ac:dyDescent="0.2">
      <c r="A34" s="13" t="s">
        <v>35</v>
      </c>
      <c r="B34" s="11">
        <v>2006</v>
      </c>
      <c r="C34" s="147">
        <v>231</v>
      </c>
      <c r="D34" s="147">
        <v>231</v>
      </c>
      <c r="E34" s="253"/>
      <c r="F34" s="253"/>
      <c r="G34" s="253"/>
      <c r="H34" s="253"/>
      <c r="I34" s="732">
        <v>16.793700000000001</v>
      </c>
      <c r="J34" s="733"/>
      <c r="K34" s="732">
        <v>0</v>
      </c>
      <c r="L34" s="253"/>
      <c r="M34" s="732">
        <v>4.0526315789473664</v>
      </c>
      <c r="N34" s="253"/>
      <c r="O34" s="732">
        <v>2.0263157894736832</v>
      </c>
      <c r="P34" s="253"/>
      <c r="Q34" s="732">
        <v>0</v>
      </c>
      <c r="R34" s="253"/>
      <c r="S34" s="732">
        <v>0</v>
      </c>
      <c r="T34" s="253"/>
      <c r="U34" s="732">
        <v>0</v>
      </c>
      <c r="V34" s="253"/>
      <c r="W34" s="732">
        <v>4.2</v>
      </c>
      <c r="X34" s="253"/>
      <c r="Y34" s="253"/>
      <c r="Z34" s="732">
        <v>9.9354838709677313</v>
      </c>
      <c r="AA34" s="253"/>
      <c r="AB34" s="732">
        <v>17.999999999999996</v>
      </c>
      <c r="AC34" s="253"/>
      <c r="AD34" s="147">
        <v>0</v>
      </c>
      <c r="AE34" s="147">
        <v>27864.720000000001</v>
      </c>
      <c r="AF34" s="147">
        <v>0</v>
      </c>
      <c r="AG34" s="147">
        <v>799148.49594947102</v>
      </c>
      <c r="AH34" s="117">
        <v>1</v>
      </c>
      <c r="AK34" s="148">
        <v>0</v>
      </c>
      <c r="AL34" s="148">
        <v>16.793700000000001</v>
      </c>
      <c r="AM34" s="148">
        <v>0</v>
      </c>
      <c r="AN34" s="148">
        <v>4.0526315789473664</v>
      </c>
      <c r="AO34" s="148">
        <v>2.0263157894736832</v>
      </c>
      <c r="AP34" s="148">
        <v>0</v>
      </c>
      <c r="AQ34" s="148">
        <v>0</v>
      </c>
      <c r="AR34" s="148">
        <v>0</v>
      </c>
      <c r="AW34" s="42">
        <v>217</v>
      </c>
      <c r="AX34" s="42">
        <v>0</v>
      </c>
      <c r="AY34" s="250"/>
    </row>
    <row r="35" spans="1:51" x14ac:dyDescent="0.2">
      <c r="A35" s="13" t="s">
        <v>36</v>
      </c>
      <c r="B35" s="11">
        <v>2434</v>
      </c>
      <c r="C35" s="147">
        <v>366</v>
      </c>
      <c r="D35" s="147">
        <v>366</v>
      </c>
      <c r="E35" s="253"/>
      <c r="F35" s="253"/>
      <c r="G35" s="253"/>
      <c r="H35" s="253"/>
      <c r="I35" s="732">
        <v>191.63739999999999</v>
      </c>
      <c r="J35" s="733"/>
      <c r="K35" s="732">
        <v>0.98895027624309417</v>
      </c>
      <c r="L35" s="253"/>
      <c r="M35" s="732">
        <v>4.9447513812154709</v>
      </c>
      <c r="N35" s="253"/>
      <c r="O35" s="732">
        <v>134.4972375690609</v>
      </c>
      <c r="P35" s="253"/>
      <c r="Q35" s="732">
        <v>167.13259668508297</v>
      </c>
      <c r="R35" s="253"/>
      <c r="S35" s="732">
        <v>23.734806629834267</v>
      </c>
      <c r="T35" s="253"/>
      <c r="U35" s="732">
        <v>10.87845303867403</v>
      </c>
      <c r="V35" s="253"/>
      <c r="W35" s="732">
        <v>8.7792915531335147</v>
      </c>
      <c r="X35" s="253"/>
      <c r="Y35" s="253"/>
      <c r="Z35" s="732">
        <v>7.0196078431372548</v>
      </c>
      <c r="AA35" s="253"/>
      <c r="AB35" s="732">
        <v>46.95081967213131</v>
      </c>
      <c r="AC35" s="253"/>
      <c r="AD35" s="147">
        <v>0</v>
      </c>
      <c r="AE35" s="147">
        <v>57205.002399999998</v>
      </c>
      <c r="AF35" s="147">
        <v>131947.39766900512</v>
      </c>
      <c r="AG35" s="147">
        <v>1720914.4777221307</v>
      </c>
      <c r="AH35" s="117">
        <v>1</v>
      </c>
      <c r="AK35" s="148">
        <v>0</v>
      </c>
      <c r="AL35" s="148">
        <v>191.63739999999999</v>
      </c>
      <c r="AM35" s="148">
        <v>0.98895027624309417</v>
      </c>
      <c r="AN35" s="148">
        <v>4.9447513812154709</v>
      </c>
      <c r="AO35" s="148">
        <v>134.4972375690609</v>
      </c>
      <c r="AP35" s="148">
        <v>167.13259668508297</v>
      </c>
      <c r="AQ35" s="148">
        <v>23.734806629834267</v>
      </c>
      <c r="AR35" s="148">
        <v>10.87845303867403</v>
      </c>
      <c r="AW35" s="42">
        <v>363</v>
      </c>
      <c r="AX35" s="42">
        <v>0</v>
      </c>
      <c r="AY35" s="250"/>
    </row>
    <row r="36" spans="1:51" x14ac:dyDescent="0.2">
      <c r="A36" s="13" t="s">
        <v>37</v>
      </c>
      <c r="B36" s="11">
        <v>2522</v>
      </c>
      <c r="C36" s="147">
        <v>407</v>
      </c>
      <c r="D36" s="147">
        <v>407</v>
      </c>
      <c r="E36" s="253"/>
      <c r="F36" s="253"/>
      <c r="G36" s="253"/>
      <c r="H36" s="253"/>
      <c r="I36" s="732">
        <v>29.141199999999998</v>
      </c>
      <c r="J36" s="733"/>
      <c r="K36" s="732">
        <v>15.036945812807891</v>
      </c>
      <c r="L36" s="253"/>
      <c r="M36" s="732">
        <v>17.041871921182263</v>
      </c>
      <c r="N36" s="253"/>
      <c r="O36" s="732">
        <v>19.046798029556633</v>
      </c>
      <c r="P36" s="253"/>
      <c r="Q36" s="732">
        <v>5.0123152709359644</v>
      </c>
      <c r="R36" s="253"/>
      <c r="S36" s="732">
        <v>2.0049261083743857</v>
      </c>
      <c r="T36" s="253"/>
      <c r="U36" s="732">
        <v>2.0049261083743857</v>
      </c>
      <c r="V36" s="253"/>
      <c r="W36" s="732">
        <v>1.0049382716049382</v>
      </c>
      <c r="X36" s="253"/>
      <c r="Y36" s="253"/>
      <c r="Z36" s="732">
        <v>12.902017291066265</v>
      </c>
      <c r="AA36" s="253"/>
      <c r="AB36" s="732">
        <v>35</v>
      </c>
      <c r="AC36" s="253"/>
      <c r="AD36" s="147">
        <v>0</v>
      </c>
      <c r="AE36" s="147">
        <v>17147.52</v>
      </c>
      <c r="AF36" s="147">
        <v>0</v>
      </c>
      <c r="AG36" s="147">
        <v>1200940.9693945057</v>
      </c>
      <c r="AH36" s="117">
        <v>1</v>
      </c>
      <c r="AK36" s="148">
        <v>0</v>
      </c>
      <c r="AL36" s="148">
        <v>29.141199999999998</v>
      </c>
      <c r="AM36" s="148">
        <v>15.036945812807891</v>
      </c>
      <c r="AN36" s="148">
        <v>17.041871921182263</v>
      </c>
      <c r="AO36" s="148">
        <v>19.046798029556633</v>
      </c>
      <c r="AP36" s="148">
        <v>5.0123152709359644</v>
      </c>
      <c r="AQ36" s="148">
        <v>2.0049261083743857</v>
      </c>
      <c r="AR36" s="148">
        <v>2.0049261083743857</v>
      </c>
      <c r="AW36" s="42">
        <v>409</v>
      </c>
      <c r="AX36" s="42">
        <v>0</v>
      </c>
      <c r="AY36" s="250"/>
    </row>
    <row r="37" spans="1:51" x14ac:dyDescent="0.2">
      <c r="A37" s="13" t="s">
        <v>38</v>
      </c>
      <c r="B37" s="11">
        <v>2436</v>
      </c>
      <c r="C37" s="147">
        <v>310</v>
      </c>
      <c r="D37" s="147">
        <v>310</v>
      </c>
      <c r="E37" s="253"/>
      <c r="F37" s="253"/>
      <c r="G37" s="253"/>
      <c r="H37" s="253"/>
      <c r="I37" s="732">
        <v>45.140000000000008</v>
      </c>
      <c r="J37" s="733"/>
      <c r="K37" s="732">
        <v>5.9223300970873662</v>
      </c>
      <c r="L37" s="253"/>
      <c r="M37" s="732">
        <v>51.326860841423965</v>
      </c>
      <c r="N37" s="253"/>
      <c r="O37" s="732">
        <v>54.288025889967756</v>
      </c>
      <c r="P37" s="253"/>
      <c r="Q37" s="732">
        <v>10.857605177993522</v>
      </c>
      <c r="R37" s="253"/>
      <c r="S37" s="732">
        <v>0</v>
      </c>
      <c r="T37" s="253"/>
      <c r="U37" s="732">
        <v>0</v>
      </c>
      <c r="V37" s="253"/>
      <c r="W37" s="732">
        <v>2.0065789473684208</v>
      </c>
      <c r="X37" s="253"/>
      <c r="Y37" s="253"/>
      <c r="Z37" s="732">
        <v>0</v>
      </c>
      <c r="AA37" s="253"/>
      <c r="AB37" s="732">
        <v>14.758064516129018</v>
      </c>
      <c r="AC37" s="253"/>
      <c r="AD37" s="147">
        <v>0</v>
      </c>
      <c r="AE37" s="147">
        <v>13575.12</v>
      </c>
      <c r="AF37" s="147">
        <v>0</v>
      </c>
      <c r="AG37" s="147">
        <v>1073659.4660011414</v>
      </c>
      <c r="AH37" s="117">
        <v>1</v>
      </c>
      <c r="AK37" s="148">
        <v>0</v>
      </c>
      <c r="AL37" s="148">
        <v>45.140000000000008</v>
      </c>
      <c r="AM37" s="148">
        <v>5.9223300970873662</v>
      </c>
      <c r="AN37" s="148">
        <v>51.326860841423965</v>
      </c>
      <c r="AO37" s="148">
        <v>54.288025889967756</v>
      </c>
      <c r="AP37" s="148">
        <v>10.857605177993522</v>
      </c>
      <c r="AQ37" s="148">
        <v>0</v>
      </c>
      <c r="AR37" s="148">
        <v>0</v>
      </c>
      <c r="AW37" s="42">
        <v>303</v>
      </c>
      <c r="AX37" s="42">
        <v>0</v>
      </c>
      <c r="AY37" s="250"/>
    </row>
    <row r="38" spans="1:51" x14ac:dyDescent="0.2">
      <c r="A38" s="13" t="s">
        <v>39</v>
      </c>
      <c r="B38" s="11">
        <v>2452</v>
      </c>
      <c r="C38" s="147">
        <v>202</v>
      </c>
      <c r="D38" s="147">
        <v>202</v>
      </c>
      <c r="E38" s="253"/>
      <c r="F38" s="253"/>
      <c r="G38" s="253"/>
      <c r="H38" s="253"/>
      <c r="I38" s="732">
        <v>69.265799999999999</v>
      </c>
      <c r="J38" s="733"/>
      <c r="K38" s="732">
        <v>9.0000000000000089</v>
      </c>
      <c r="L38" s="253"/>
      <c r="M38" s="732">
        <v>3.0000000000000098</v>
      </c>
      <c r="N38" s="253"/>
      <c r="O38" s="732">
        <v>111.0000000000001</v>
      </c>
      <c r="P38" s="253"/>
      <c r="Q38" s="732">
        <v>3.0000000000000098</v>
      </c>
      <c r="R38" s="253"/>
      <c r="S38" s="732">
        <v>9.9999999999999982</v>
      </c>
      <c r="T38" s="253"/>
      <c r="U38" s="732">
        <v>1.9999999999999998</v>
      </c>
      <c r="V38" s="253"/>
      <c r="W38" s="732">
        <v>0</v>
      </c>
      <c r="X38" s="253"/>
      <c r="Y38" s="253"/>
      <c r="Z38" s="732">
        <v>3.5232558139534924</v>
      </c>
      <c r="AA38" s="253"/>
      <c r="AB38" s="732">
        <v>11.000000000000009</v>
      </c>
      <c r="AC38" s="253"/>
      <c r="AD38" s="147">
        <v>0</v>
      </c>
      <c r="AE38" s="147">
        <v>14765.92</v>
      </c>
      <c r="AF38" s="147">
        <v>0</v>
      </c>
      <c r="AG38" s="147">
        <v>784175.75422914047</v>
      </c>
      <c r="AH38" s="117">
        <v>1</v>
      </c>
      <c r="AK38" s="148">
        <v>0</v>
      </c>
      <c r="AL38" s="148">
        <v>69.265799999999999</v>
      </c>
      <c r="AM38" s="148">
        <v>9.0000000000000089</v>
      </c>
      <c r="AN38" s="148">
        <v>3.0000000000000098</v>
      </c>
      <c r="AO38" s="148">
        <v>111.0000000000001</v>
      </c>
      <c r="AP38" s="148">
        <v>3.0000000000000098</v>
      </c>
      <c r="AQ38" s="148">
        <v>9.9999999999999982</v>
      </c>
      <c r="AR38" s="148">
        <v>1.9999999999999998</v>
      </c>
      <c r="AW38" s="42">
        <v>210</v>
      </c>
      <c r="AX38" s="42">
        <v>0</v>
      </c>
      <c r="AY38" s="250"/>
    </row>
    <row r="39" spans="1:51" x14ac:dyDescent="0.2">
      <c r="A39" s="13" t="s">
        <v>40</v>
      </c>
      <c r="B39" s="11">
        <v>2627</v>
      </c>
      <c r="C39" s="147">
        <v>385</v>
      </c>
      <c r="D39" s="147">
        <v>385</v>
      </c>
      <c r="E39" s="253"/>
      <c r="F39" s="253"/>
      <c r="G39" s="253"/>
      <c r="H39" s="253"/>
      <c r="I39" s="732">
        <v>27.720000000000002</v>
      </c>
      <c r="J39" s="733"/>
      <c r="K39" s="732">
        <v>9.0234375</v>
      </c>
      <c r="L39" s="253"/>
      <c r="M39" s="732">
        <v>9.0234375</v>
      </c>
      <c r="N39" s="253"/>
      <c r="O39" s="732">
        <v>12.03125</v>
      </c>
      <c r="P39" s="253"/>
      <c r="Q39" s="732">
        <v>3.0078125</v>
      </c>
      <c r="R39" s="253"/>
      <c r="S39" s="732">
        <v>0</v>
      </c>
      <c r="T39" s="253"/>
      <c r="U39" s="732">
        <v>3.0078125</v>
      </c>
      <c r="V39" s="253"/>
      <c r="W39" s="732">
        <v>0</v>
      </c>
      <c r="X39" s="253"/>
      <c r="Y39" s="253"/>
      <c r="Z39" s="732">
        <v>36.276595744680868</v>
      </c>
      <c r="AA39" s="253"/>
      <c r="AB39" s="732">
        <v>27.999999999999989</v>
      </c>
      <c r="AC39" s="253"/>
      <c r="AD39" s="147">
        <v>0</v>
      </c>
      <c r="AE39" s="147">
        <v>20005.439999999999</v>
      </c>
      <c r="AF39" s="147">
        <v>0</v>
      </c>
      <c r="AG39" s="147">
        <v>1181391.1402069102</v>
      </c>
      <c r="AH39" s="117">
        <v>1</v>
      </c>
      <c r="AK39" s="148">
        <v>0</v>
      </c>
      <c r="AL39" s="148">
        <v>27.720000000000002</v>
      </c>
      <c r="AM39" s="148">
        <v>9.0234375</v>
      </c>
      <c r="AN39" s="148">
        <v>9.0234375</v>
      </c>
      <c r="AO39" s="148">
        <v>12.03125</v>
      </c>
      <c r="AP39" s="148">
        <v>3.0078125</v>
      </c>
      <c r="AQ39" s="148">
        <v>0</v>
      </c>
      <c r="AR39" s="148">
        <v>3.0078125</v>
      </c>
      <c r="AW39" s="42">
        <v>387</v>
      </c>
      <c r="AX39" s="42">
        <v>0</v>
      </c>
      <c r="AY39" s="250"/>
    </row>
    <row r="40" spans="1:51" x14ac:dyDescent="0.2">
      <c r="A40" s="245" t="s">
        <v>619</v>
      </c>
      <c r="B40" s="246">
        <v>2009</v>
      </c>
      <c r="C40" s="147">
        <v>280</v>
      </c>
      <c r="D40" s="147">
        <v>280</v>
      </c>
      <c r="E40" s="253"/>
      <c r="F40" s="253"/>
      <c r="G40" s="253"/>
      <c r="H40" s="253"/>
      <c r="I40" s="732">
        <v>132.88800000000001</v>
      </c>
      <c r="J40" s="733"/>
      <c r="K40" s="732">
        <v>0.99999999999999956</v>
      </c>
      <c r="L40" s="253"/>
      <c r="M40" s="732">
        <v>5.0000000000000124</v>
      </c>
      <c r="N40" s="253"/>
      <c r="O40" s="732">
        <v>12.000000000000012</v>
      </c>
      <c r="P40" s="253"/>
      <c r="Q40" s="732">
        <v>117.00000000000003</v>
      </c>
      <c r="R40" s="253"/>
      <c r="S40" s="732">
        <v>64.999999999999957</v>
      </c>
      <c r="T40" s="253"/>
      <c r="U40" s="732">
        <v>35</v>
      </c>
      <c r="V40" s="253"/>
      <c r="W40" s="732">
        <v>0</v>
      </c>
      <c r="X40" s="253"/>
      <c r="Y40" s="253"/>
      <c r="Z40" s="732">
        <v>10.677966101694921</v>
      </c>
      <c r="AA40" s="253"/>
      <c r="AB40" s="732">
        <v>0</v>
      </c>
      <c r="AC40" s="253"/>
      <c r="AD40" s="147">
        <v>0</v>
      </c>
      <c r="AE40" s="754">
        <v>2548.3119999999999</v>
      </c>
      <c r="AF40" s="147">
        <v>0</v>
      </c>
      <c r="AG40" s="743">
        <v>1152053.5395219419</v>
      </c>
      <c r="AH40" s="117">
        <v>1</v>
      </c>
      <c r="AK40" s="148">
        <v>0</v>
      </c>
      <c r="AL40" s="148">
        <v>132.88800000000001</v>
      </c>
      <c r="AM40" s="148">
        <v>0.99999999999999956</v>
      </c>
      <c r="AN40" s="148">
        <v>5.0000000000000124</v>
      </c>
      <c r="AO40" s="148">
        <v>12.000000000000012</v>
      </c>
      <c r="AP40" s="148">
        <v>117.00000000000003</v>
      </c>
      <c r="AQ40" s="148">
        <v>64.999999999999957</v>
      </c>
      <c r="AR40" s="148">
        <v>35</v>
      </c>
      <c r="AW40" s="42">
        <v>276</v>
      </c>
      <c r="AX40" s="42">
        <v>0</v>
      </c>
      <c r="AY40" s="250"/>
    </row>
    <row r="41" spans="1:51" x14ac:dyDescent="0.2">
      <c r="A41" s="13" t="s">
        <v>42</v>
      </c>
      <c r="B41" s="11">
        <v>2473</v>
      </c>
      <c r="C41" s="147">
        <v>270</v>
      </c>
      <c r="D41" s="147">
        <v>270</v>
      </c>
      <c r="E41" s="253"/>
      <c r="F41" s="253"/>
      <c r="G41" s="253"/>
      <c r="H41" s="253"/>
      <c r="I41" s="732">
        <v>89.316000000000003</v>
      </c>
      <c r="J41" s="733"/>
      <c r="K41" s="732">
        <v>3.0111524163568713</v>
      </c>
      <c r="L41" s="253"/>
      <c r="M41" s="732">
        <v>29.107806691449781</v>
      </c>
      <c r="N41" s="253"/>
      <c r="O41" s="732">
        <v>35.130111524163631</v>
      </c>
      <c r="P41" s="253"/>
      <c r="Q41" s="732">
        <v>34.126394052044695</v>
      </c>
      <c r="R41" s="253"/>
      <c r="S41" s="732">
        <v>58.215613382899562</v>
      </c>
      <c r="T41" s="253"/>
      <c r="U41" s="732">
        <v>5.0185873605947853</v>
      </c>
      <c r="V41" s="253"/>
      <c r="W41" s="732">
        <v>1.0150375939849623</v>
      </c>
      <c r="X41" s="253"/>
      <c r="Y41" s="253"/>
      <c r="Z41" s="732">
        <v>10.500000000000004</v>
      </c>
      <c r="AA41" s="253"/>
      <c r="AB41" s="732">
        <v>3.999999999999996</v>
      </c>
      <c r="AC41" s="253"/>
      <c r="AD41" s="147">
        <v>0</v>
      </c>
      <c r="AE41" s="147">
        <v>14765.92</v>
      </c>
      <c r="AF41" s="147">
        <v>0</v>
      </c>
      <c r="AG41" s="147">
        <v>1044815.7380047912</v>
      </c>
      <c r="AH41" s="117">
        <v>1</v>
      </c>
      <c r="AK41" s="148">
        <v>0</v>
      </c>
      <c r="AL41" s="148">
        <v>89.316000000000003</v>
      </c>
      <c r="AM41" s="148">
        <v>3.0111524163568713</v>
      </c>
      <c r="AN41" s="148">
        <v>29.107806691449781</v>
      </c>
      <c r="AO41" s="148">
        <v>35.130111524163631</v>
      </c>
      <c r="AP41" s="148">
        <v>34.126394052044695</v>
      </c>
      <c r="AQ41" s="148">
        <v>58.215613382899562</v>
      </c>
      <c r="AR41" s="148">
        <v>5.0185873605947853</v>
      </c>
      <c r="AW41" s="42">
        <v>266</v>
      </c>
      <c r="AX41" s="42">
        <v>0</v>
      </c>
      <c r="AY41" s="250"/>
    </row>
    <row r="42" spans="1:51" x14ac:dyDescent="0.2">
      <c r="A42" s="13" t="s">
        <v>43</v>
      </c>
      <c r="B42" s="11">
        <v>2471</v>
      </c>
      <c r="C42" s="147">
        <v>346</v>
      </c>
      <c r="D42" s="147">
        <v>346</v>
      </c>
      <c r="E42" s="253"/>
      <c r="F42" s="253"/>
      <c r="G42" s="253"/>
      <c r="H42" s="253"/>
      <c r="I42" s="732">
        <v>141.8254</v>
      </c>
      <c r="J42" s="733"/>
      <c r="K42" s="732">
        <v>8.9999999999999929</v>
      </c>
      <c r="L42" s="253"/>
      <c r="M42" s="732">
        <v>21.999999999999989</v>
      </c>
      <c r="N42" s="253"/>
      <c r="O42" s="732">
        <v>52.999999999999972</v>
      </c>
      <c r="P42" s="253"/>
      <c r="Q42" s="732">
        <v>48.000000000000014</v>
      </c>
      <c r="R42" s="253"/>
      <c r="S42" s="732">
        <v>72.000000000000028</v>
      </c>
      <c r="T42" s="253"/>
      <c r="U42" s="732">
        <v>4.9999999999999929</v>
      </c>
      <c r="V42" s="253"/>
      <c r="W42" s="732">
        <v>2.0116279069767442</v>
      </c>
      <c r="X42" s="253"/>
      <c r="Y42" s="253"/>
      <c r="Z42" s="732">
        <v>2.9999999999999991</v>
      </c>
      <c r="AA42" s="253"/>
      <c r="AB42" s="732">
        <v>20.999999999999996</v>
      </c>
      <c r="AC42" s="253"/>
      <c r="AD42" s="147">
        <v>0</v>
      </c>
      <c r="AE42" s="147">
        <v>14765.92</v>
      </c>
      <c r="AF42" s="147">
        <v>0</v>
      </c>
      <c r="AG42" s="147">
        <v>1294228.3056866401</v>
      </c>
      <c r="AH42" s="117">
        <v>1</v>
      </c>
      <c r="AK42" s="148">
        <v>0</v>
      </c>
      <c r="AL42" s="148">
        <v>141.8254</v>
      </c>
      <c r="AM42" s="148">
        <v>8.9999999999999929</v>
      </c>
      <c r="AN42" s="148">
        <v>21.999999999999989</v>
      </c>
      <c r="AO42" s="148">
        <v>52.999999999999972</v>
      </c>
      <c r="AP42" s="148">
        <v>48.000000000000014</v>
      </c>
      <c r="AQ42" s="148">
        <v>72.000000000000028</v>
      </c>
      <c r="AR42" s="148">
        <v>4.9999999999999929</v>
      </c>
      <c r="AW42" s="42">
        <v>341</v>
      </c>
      <c r="AX42" s="42">
        <v>0</v>
      </c>
      <c r="AY42" s="250"/>
    </row>
    <row r="43" spans="1:51" x14ac:dyDescent="0.2">
      <c r="A43" s="13" t="s">
        <v>44</v>
      </c>
      <c r="B43" s="11">
        <v>2420</v>
      </c>
      <c r="C43" s="147">
        <v>455</v>
      </c>
      <c r="D43" s="147">
        <v>455</v>
      </c>
      <c r="E43" s="253"/>
      <c r="F43" s="253"/>
      <c r="G43" s="253"/>
      <c r="H43" s="253"/>
      <c r="I43" s="732">
        <v>300.98250000000002</v>
      </c>
      <c r="J43" s="733"/>
      <c r="K43" s="732">
        <v>0</v>
      </c>
      <c r="L43" s="253"/>
      <c r="M43" s="732">
        <v>2.0000000000000018</v>
      </c>
      <c r="N43" s="253"/>
      <c r="O43" s="732">
        <v>41.999999999999993</v>
      </c>
      <c r="P43" s="253"/>
      <c r="Q43" s="732">
        <v>37.999999999999993</v>
      </c>
      <c r="R43" s="253"/>
      <c r="S43" s="732">
        <v>72.999999999999801</v>
      </c>
      <c r="T43" s="253"/>
      <c r="U43" s="732">
        <v>296.00000000000023</v>
      </c>
      <c r="V43" s="253"/>
      <c r="W43" s="732">
        <v>0</v>
      </c>
      <c r="X43" s="253"/>
      <c r="Y43" s="253"/>
      <c r="Z43" s="732">
        <v>118.9622641509434</v>
      </c>
      <c r="AA43" s="253"/>
      <c r="AB43" s="732">
        <v>65.000000000000057</v>
      </c>
      <c r="AC43" s="253"/>
      <c r="AD43" s="147">
        <v>0</v>
      </c>
      <c r="AE43" s="147">
        <v>21910.720000000001</v>
      </c>
      <c r="AF43" s="147">
        <v>0</v>
      </c>
      <c r="AG43" s="147">
        <v>2196693.5203659222</v>
      </c>
      <c r="AH43" s="117">
        <v>1</v>
      </c>
      <c r="AK43" s="148">
        <v>0</v>
      </c>
      <c r="AL43" s="148">
        <v>300.98250000000002</v>
      </c>
      <c r="AM43" s="148">
        <v>0</v>
      </c>
      <c r="AN43" s="148">
        <v>2.0000000000000018</v>
      </c>
      <c r="AO43" s="148">
        <v>41.999999999999993</v>
      </c>
      <c r="AP43" s="148">
        <v>37.999999999999993</v>
      </c>
      <c r="AQ43" s="148">
        <v>72.999999999999801</v>
      </c>
      <c r="AR43" s="148">
        <v>296.00000000000023</v>
      </c>
      <c r="AW43" s="42">
        <v>381</v>
      </c>
      <c r="AX43" s="42">
        <v>0</v>
      </c>
      <c r="AY43" s="250"/>
    </row>
    <row r="44" spans="1:51" x14ac:dyDescent="0.2">
      <c r="A44" s="13" t="s">
        <v>45</v>
      </c>
      <c r="B44" s="11">
        <v>2003</v>
      </c>
      <c r="C44" s="147">
        <v>213</v>
      </c>
      <c r="D44" s="147">
        <v>213</v>
      </c>
      <c r="E44" s="253"/>
      <c r="F44" s="253"/>
      <c r="G44" s="253"/>
      <c r="H44" s="253"/>
      <c r="I44" s="732">
        <v>14.931299999999998</v>
      </c>
      <c r="J44" s="733"/>
      <c r="K44" s="732">
        <v>4.0571428571428472</v>
      </c>
      <c r="L44" s="253"/>
      <c r="M44" s="732">
        <v>0</v>
      </c>
      <c r="N44" s="253"/>
      <c r="O44" s="732">
        <v>0</v>
      </c>
      <c r="P44" s="253"/>
      <c r="Q44" s="732">
        <v>0</v>
      </c>
      <c r="R44" s="253"/>
      <c r="S44" s="732">
        <v>0</v>
      </c>
      <c r="T44" s="253"/>
      <c r="U44" s="732">
        <v>0</v>
      </c>
      <c r="V44" s="253"/>
      <c r="W44" s="732">
        <v>0.99532710280373826</v>
      </c>
      <c r="X44" s="253"/>
      <c r="Y44" s="253"/>
      <c r="Z44" s="732">
        <v>2.3278688524590208</v>
      </c>
      <c r="AA44" s="253"/>
      <c r="AB44" s="732">
        <v>2.9999999999999956</v>
      </c>
      <c r="AC44" s="253"/>
      <c r="AD44" s="147">
        <v>0</v>
      </c>
      <c r="AE44" s="147">
        <v>27388.400000000001</v>
      </c>
      <c r="AF44" s="147">
        <v>0</v>
      </c>
      <c r="AG44" s="147">
        <v>684375.90891088336</v>
      </c>
      <c r="AH44" s="117">
        <v>1</v>
      </c>
      <c r="AK44" s="148">
        <v>0</v>
      </c>
      <c r="AL44" s="148">
        <v>14.931299999999998</v>
      </c>
      <c r="AM44" s="148">
        <v>4.0571428571428472</v>
      </c>
      <c r="AN44" s="148">
        <v>0</v>
      </c>
      <c r="AO44" s="148">
        <v>0</v>
      </c>
      <c r="AP44" s="148">
        <v>0</v>
      </c>
      <c r="AQ44" s="148">
        <v>0</v>
      </c>
      <c r="AR44" s="148">
        <v>0</v>
      </c>
      <c r="AW44" s="42">
        <v>212</v>
      </c>
      <c r="AX44" s="42">
        <v>0</v>
      </c>
      <c r="AY44" s="250"/>
    </row>
    <row r="45" spans="1:51" x14ac:dyDescent="0.2">
      <c r="A45" s="13" t="s">
        <v>46</v>
      </c>
      <c r="B45" s="11">
        <v>2423</v>
      </c>
      <c r="C45" s="147">
        <v>359</v>
      </c>
      <c r="D45" s="147">
        <v>359</v>
      </c>
      <c r="E45" s="253"/>
      <c r="F45" s="253"/>
      <c r="G45" s="253"/>
      <c r="H45" s="253"/>
      <c r="I45" s="732">
        <v>171.6379</v>
      </c>
      <c r="J45" s="733"/>
      <c r="K45" s="732">
        <v>2.0112044817927157</v>
      </c>
      <c r="L45" s="253"/>
      <c r="M45" s="732">
        <v>16.089635854341719</v>
      </c>
      <c r="N45" s="253"/>
      <c r="O45" s="732">
        <v>149.8347338935576</v>
      </c>
      <c r="P45" s="253"/>
      <c r="Q45" s="732">
        <v>108.60504201680659</v>
      </c>
      <c r="R45" s="253"/>
      <c r="S45" s="732">
        <v>50.280112044818075</v>
      </c>
      <c r="T45" s="253"/>
      <c r="U45" s="732">
        <v>26.145658263305332</v>
      </c>
      <c r="V45" s="253"/>
      <c r="W45" s="732">
        <v>2.0932944606413995</v>
      </c>
      <c r="X45" s="253"/>
      <c r="Y45" s="253"/>
      <c r="Z45" s="732">
        <v>161.99999999999986</v>
      </c>
      <c r="AA45" s="253"/>
      <c r="AB45" s="732">
        <v>73.999999999999872</v>
      </c>
      <c r="AC45" s="253"/>
      <c r="AD45" s="147">
        <v>0</v>
      </c>
      <c r="AE45" s="147">
        <v>12027.08</v>
      </c>
      <c r="AF45" s="147">
        <v>0</v>
      </c>
      <c r="AG45" s="147">
        <v>1781585.23900488</v>
      </c>
      <c r="AH45" s="117">
        <v>1</v>
      </c>
      <c r="AK45" s="148">
        <v>0</v>
      </c>
      <c r="AL45" s="148">
        <v>171.6379</v>
      </c>
      <c r="AM45" s="148">
        <v>2.0112044817927157</v>
      </c>
      <c r="AN45" s="148">
        <v>16.089635854341719</v>
      </c>
      <c r="AO45" s="148">
        <v>149.8347338935576</v>
      </c>
      <c r="AP45" s="148">
        <v>108.60504201680659</v>
      </c>
      <c r="AQ45" s="148">
        <v>50.280112044818075</v>
      </c>
      <c r="AR45" s="148">
        <v>26.145658263305332</v>
      </c>
      <c r="AW45" s="42">
        <v>314</v>
      </c>
      <c r="AX45" s="42">
        <v>0</v>
      </c>
      <c r="AY45" s="250"/>
    </row>
    <row r="46" spans="1:51" x14ac:dyDescent="0.2">
      <c r="A46" s="13" t="s">
        <v>47</v>
      </c>
      <c r="B46" s="11">
        <v>2424</v>
      </c>
      <c r="C46" s="147">
        <v>268</v>
      </c>
      <c r="D46" s="147">
        <v>268</v>
      </c>
      <c r="E46" s="253"/>
      <c r="F46" s="253"/>
      <c r="G46" s="253"/>
      <c r="H46" s="253"/>
      <c r="I46" s="732">
        <v>101.00919999999999</v>
      </c>
      <c r="J46" s="733"/>
      <c r="K46" s="732">
        <v>1</v>
      </c>
      <c r="L46" s="253"/>
      <c r="M46" s="732">
        <v>1</v>
      </c>
      <c r="N46" s="253"/>
      <c r="O46" s="732">
        <v>100</v>
      </c>
      <c r="P46" s="253"/>
      <c r="Q46" s="732">
        <v>109.00000000000006</v>
      </c>
      <c r="R46" s="253"/>
      <c r="S46" s="732">
        <v>37.999999999999893</v>
      </c>
      <c r="T46" s="253"/>
      <c r="U46" s="732">
        <v>10.000000000000002</v>
      </c>
      <c r="V46" s="253"/>
      <c r="W46" s="732">
        <v>0</v>
      </c>
      <c r="X46" s="253"/>
      <c r="Y46" s="253"/>
      <c r="Z46" s="732">
        <v>187.15083798882691</v>
      </c>
      <c r="AA46" s="253"/>
      <c r="AB46" s="732">
        <v>28.000000000000131</v>
      </c>
      <c r="AC46" s="253"/>
      <c r="AD46" s="147">
        <v>0</v>
      </c>
      <c r="AE46" s="147">
        <v>12027.08</v>
      </c>
      <c r="AF46" s="147">
        <v>0</v>
      </c>
      <c r="AG46" s="147">
        <v>1394752.3207116297</v>
      </c>
      <c r="AH46" s="117">
        <v>1</v>
      </c>
      <c r="AK46" s="148">
        <v>0</v>
      </c>
      <c r="AL46" s="148">
        <v>101.00919999999999</v>
      </c>
      <c r="AM46" s="148">
        <v>1</v>
      </c>
      <c r="AN46" s="148">
        <v>1</v>
      </c>
      <c r="AO46" s="148">
        <v>100</v>
      </c>
      <c r="AP46" s="148">
        <v>109.00000000000006</v>
      </c>
      <c r="AQ46" s="148">
        <v>37.999999999999893</v>
      </c>
      <c r="AR46" s="148">
        <v>10.000000000000002</v>
      </c>
      <c r="AW46" s="42">
        <v>264</v>
      </c>
      <c r="AX46" s="42">
        <v>0</v>
      </c>
      <c r="AY46" s="250"/>
    </row>
    <row r="47" spans="1:51" x14ac:dyDescent="0.2">
      <c r="A47" s="13" t="s">
        <v>48</v>
      </c>
      <c r="B47" s="11">
        <v>2439</v>
      </c>
      <c r="C47" s="147">
        <v>238</v>
      </c>
      <c r="D47" s="147">
        <v>238</v>
      </c>
      <c r="E47" s="253"/>
      <c r="F47" s="253"/>
      <c r="G47" s="253"/>
      <c r="H47" s="253"/>
      <c r="I47" s="732">
        <v>15.327199999999999</v>
      </c>
      <c r="J47" s="733"/>
      <c r="K47" s="732">
        <v>3.9999999999999925</v>
      </c>
      <c r="L47" s="253"/>
      <c r="M47" s="732">
        <v>1.0000000000000007</v>
      </c>
      <c r="N47" s="253"/>
      <c r="O47" s="732">
        <v>7.0000000000000115</v>
      </c>
      <c r="P47" s="253"/>
      <c r="Q47" s="732">
        <v>0</v>
      </c>
      <c r="R47" s="253"/>
      <c r="S47" s="732">
        <v>0</v>
      </c>
      <c r="T47" s="253"/>
      <c r="U47" s="732">
        <v>0</v>
      </c>
      <c r="V47" s="253"/>
      <c r="W47" s="732">
        <v>0</v>
      </c>
      <c r="X47" s="253"/>
      <c r="Y47" s="253"/>
      <c r="Z47" s="732">
        <v>4.4905660377358521</v>
      </c>
      <c r="AA47" s="253"/>
      <c r="AB47" s="732">
        <v>7.0000000000000115</v>
      </c>
      <c r="AC47" s="253"/>
      <c r="AD47" s="147">
        <v>0</v>
      </c>
      <c r="AE47" s="147">
        <v>8073</v>
      </c>
      <c r="AF47" s="147">
        <v>0</v>
      </c>
      <c r="AG47" s="147">
        <v>732863.19637107186</v>
      </c>
      <c r="AH47" s="117">
        <v>1</v>
      </c>
      <c r="AK47" s="148">
        <v>0</v>
      </c>
      <c r="AL47" s="148">
        <v>15.327199999999999</v>
      </c>
      <c r="AM47" s="148">
        <v>3.9999999999999925</v>
      </c>
      <c r="AN47" s="148">
        <v>1.0000000000000007</v>
      </c>
      <c r="AO47" s="148">
        <v>7.0000000000000115</v>
      </c>
      <c r="AP47" s="148">
        <v>0</v>
      </c>
      <c r="AQ47" s="148">
        <v>0</v>
      </c>
      <c r="AR47" s="148">
        <v>0</v>
      </c>
      <c r="AW47" s="42">
        <v>234</v>
      </c>
      <c r="AX47" s="42">
        <v>0</v>
      </c>
      <c r="AY47" s="250"/>
    </row>
    <row r="48" spans="1:51" x14ac:dyDescent="0.2">
      <c r="A48" s="13" t="s">
        <v>49</v>
      </c>
      <c r="B48" s="11">
        <v>2440</v>
      </c>
      <c r="C48" s="147">
        <v>292</v>
      </c>
      <c r="D48" s="147">
        <v>292</v>
      </c>
      <c r="E48" s="253"/>
      <c r="F48" s="253"/>
      <c r="G48" s="253"/>
      <c r="H48" s="253"/>
      <c r="I48" s="732">
        <v>35.419600000000003</v>
      </c>
      <c r="J48" s="733"/>
      <c r="K48" s="732">
        <v>1.0068965517241393</v>
      </c>
      <c r="L48" s="253"/>
      <c r="M48" s="732">
        <v>7.0482758620689774</v>
      </c>
      <c r="N48" s="253"/>
      <c r="O48" s="732">
        <v>4.0275862068965624</v>
      </c>
      <c r="P48" s="253"/>
      <c r="Q48" s="732">
        <v>3.0206896551724149</v>
      </c>
      <c r="R48" s="253"/>
      <c r="S48" s="732">
        <v>1.0068965517241393</v>
      </c>
      <c r="T48" s="253"/>
      <c r="U48" s="732">
        <v>0</v>
      </c>
      <c r="V48" s="253"/>
      <c r="W48" s="732">
        <v>0</v>
      </c>
      <c r="X48" s="253"/>
      <c r="Y48" s="253"/>
      <c r="Z48" s="732">
        <v>2.9999999999999925</v>
      </c>
      <c r="AA48" s="253"/>
      <c r="AB48" s="732">
        <v>8</v>
      </c>
      <c r="AC48" s="253"/>
      <c r="AD48" s="147">
        <v>0</v>
      </c>
      <c r="AE48" s="147">
        <v>33104.239999999998</v>
      </c>
      <c r="AF48" s="147">
        <v>0</v>
      </c>
      <c r="AG48" s="147">
        <v>931708.13973631372</v>
      </c>
      <c r="AH48" s="117">
        <v>1</v>
      </c>
      <c r="AK48" s="148">
        <v>0</v>
      </c>
      <c r="AL48" s="148">
        <v>35.419600000000003</v>
      </c>
      <c r="AM48" s="148">
        <v>1.0068965517241393</v>
      </c>
      <c r="AN48" s="148">
        <v>7.0482758620689774</v>
      </c>
      <c r="AO48" s="148">
        <v>4.0275862068965624</v>
      </c>
      <c r="AP48" s="148">
        <v>3.0206896551724149</v>
      </c>
      <c r="AQ48" s="148">
        <v>1.0068965517241393</v>
      </c>
      <c r="AR48" s="148">
        <v>0</v>
      </c>
      <c r="AW48" s="42">
        <v>274</v>
      </c>
      <c r="AX48" s="42">
        <v>0</v>
      </c>
      <c r="AY48" s="250"/>
    </row>
    <row r="49" spans="1:51" x14ac:dyDescent="0.2">
      <c r="A49" s="13" t="s">
        <v>50</v>
      </c>
      <c r="B49" s="11">
        <v>2462</v>
      </c>
      <c r="C49" s="147">
        <v>233</v>
      </c>
      <c r="D49" s="147">
        <v>233</v>
      </c>
      <c r="E49" s="253"/>
      <c r="F49" s="253"/>
      <c r="G49" s="253"/>
      <c r="H49" s="253"/>
      <c r="I49" s="732">
        <v>32.689899999999994</v>
      </c>
      <c r="J49" s="733"/>
      <c r="K49" s="732">
        <v>9.0387931034482847</v>
      </c>
      <c r="L49" s="253"/>
      <c r="M49" s="732">
        <v>24.103448275862078</v>
      </c>
      <c r="N49" s="253"/>
      <c r="O49" s="732">
        <v>21.090517241379303</v>
      </c>
      <c r="P49" s="253"/>
      <c r="Q49" s="732">
        <v>3.0129310344827536</v>
      </c>
      <c r="R49" s="253"/>
      <c r="S49" s="732">
        <v>4.0172413793103381</v>
      </c>
      <c r="T49" s="253"/>
      <c r="U49" s="732">
        <v>2.0086206896551717</v>
      </c>
      <c r="V49" s="253"/>
      <c r="W49" s="732">
        <v>0</v>
      </c>
      <c r="X49" s="253"/>
      <c r="Y49" s="253"/>
      <c r="Z49" s="732">
        <v>20.60544217687076</v>
      </c>
      <c r="AA49" s="253"/>
      <c r="AB49" s="732">
        <v>13.999999999999991</v>
      </c>
      <c r="AC49" s="253"/>
      <c r="AD49" s="147">
        <v>0</v>
      </c>
      <c r="AE49" s="147">
        <v>13336.96</v>
      </c>
      <c r="AF49" s="147">
        <v>0</v>
      </c>
      <c r="AG49" s="147">
        <v>826543.33030053996</v>
      </c>
      <c r="AH49" s="117">
        <v>1</v>
      </c>
      <c r="AK49" s="148">
        <v>0</v>
      </c>
      <c r="AL49" s="148">
        <v>32.689899999999994</v>
      </c>
      <c r="AM49" s="148">
        <v>9.0387931034482847</v>
      </c>
      <c r="AN49" s="148">
        <v>24.103448275862078</v>
      </c>
      <c r="AO49" s="148">
        <v>21.090517241379303</v>
      </c>
      <c r="AP49" s="148">
        <v>3.0129310344827536</v>
      </c>
      <c r="AQ49" s="148">
        <v>4.0172413793103381</v>
      </c>
      <c r="AR49" s="148">
        <v>2.0086206896551717</v>
      </c>
      <c r="AW49" s="42">
        <v>217</v>
      </c>
      <c r="AX49" s="42">
        <v>0</v>
      </c>
      <c r="AY49" s="250"/>
    </row>
    <row r="50" spans="1:51" x14ac:dyDescent="0.2">
      <c r="A50" s="13" t="s">
        <v>51</v>
      </c>
      <c r="B50" s="11">
        <v>2463</v>
      </c>
      <c r="C50" s="147">
        <v>307</v>
      </c>
      <c r="D50" s="147">
        <v>307</v>
      </c>
      <c r="E50" s="253"/>
      <c r="F50" s="253"/>
      <c r="G50" s="253"/>
      <c r="H50" s="253"/>
      <c r="I50" s="732">
        <v>53.018899999999995</v>
      </c>
      <c r="J50" s="733"/>
      <c r="K50" s="732">
        <v>5.0493421052631478</v>
      </c>
      <c r="L50" s="253"/>
      <c r="M50" s="732">
        <v>18.177631578947377</v>
      </c>
      <c r="N50" s="253"/>
      <c r="O50" s="732">
        <v>21.207236842105278</v>
      </c>
      <c r="P50" s="253"/>
      <c r="Q50" s="732">
        <v>3.0296052631578951</v>
      </c>
      <c r="R50" s="253"/>
      <c r="S50" s="732">
        <v>2.0197368421052624</v>
      </c>
      <c r="T50" s="253"/>
      <c r="U50" s="732">
        <v>0</v>
      </c>
      <c r="V50" s="253"/>
      <c r="W50" s="732">
        <v>0</v>
      </c>
      <c r="X50" s="253"/>
      <c r="Y50" s="253"/>
      <c r="Z50" s="732">
        <v>21.000000000000011</v>
      </c>
      <c r="AA50" s="253"/>
      <c r="AB50" s="732">
        <v>10.999999999999986</v>
      </c>
      <c r="AC50" s="253"/>
      <c r="AD50" s="147">
        <v>0</v>
      </c>
      <c r="AE50" s="147">
        <v>13336.96</v>
      </c>
      <c r="AF50" s="147">
        <v>0</v>
      </c>
      <c r="AG50" s="147">
        <v>975821.19573966786</v>
      </c>
      <c r="AH50" s="117">
        <v>1</v>
      </c>
      <c r="AK50" s="148">
        <v>0</v>
      </c>
      <c r="AL50" s="148">
        <v>53.018899999999995</v>
      </c>
      <c r="AM50" s="148">
        <v>5.0493421052631478</v>
      </c>
      <c r="AN50" s="148">
        <v>18.177631578947377</v>
      </c>
      <c r="AO50" s="148">
        <v>21.207236842105278</v>
      </c>
      <c r="AP50" s="148">
        <v>3.0296052631578951</v>
      </c>
      <c r="AQ50" s="148">
        <v>2.0197368421052624</v>
      </c>
      <c r="AR50" s="148">
        <v>0</v>
      </c>
      <c r="AW50" s="42">
        <v>281</v>
      </c>
      <c r="AX50" s="42">
        <v>0</v>
      </c>
      <c r="AY50" s="250"/>
    </row>
    <row r="51" spans="1:51" x14ac:dyDescent="0.2">
      <c r="A51" s="13" t="s">
        <v>52</v>
      </c>
      <c r="B51" s="11">
        <v>2505</v>
      </c>
      <c r="C51" s="147">
        <v>436</v>
      </c>
      <c r="D51" s="147">
        <v>436</v>
      </c>
      <c r="E51" s="253"/>
      <c r="F51" s="253"/>
      <c r="G51" s="253"/>
      <c r="H51" s="253"/>
      <c r="I51" s="732">
        <v>160.01200000000003</v>
      </c>
      <c r="J51" s="733"/>
      <c r="K51" s="732">
        <v>97.113689095127597</v>
      </c>
      <c r="L51" s="253"/>
      <c r="M51" s="732">
        <v>0</v>
      </c>
      <c r="N51" s="253"/>
      <c r="O51" s="732">
        <v>154.77494199535971</v>
      </c>
      <c r="P51" s="253"/>
      <c r="Q51" s="732">
        <v>90.032482598608013</v>
      </c>
      <c r="R51" s="253"/>
      <c r="S51" s="732">
        <v>2.0232018561484937</v>
      </c>
      <c r="T51" s="253"/>
      <c r="U51" s="732">
        <v>50.580046403712124</v>
      </c>
      <c r="V51" s="253"/>
      <c r="W51" s="732">
        <v>0</v>
      </c>
      <c r="X51" s="253"/>
      <c r="Y51" s="253"/>
      <c r="Z51" s="732">
        <v>67.634349030470844</v>
      </c>
      <c r="AA51" s="253"/>
      <c r="AB51" s="732">
        <v>39.000000000000014</v>
      </c>
      <c r="AC51" s="253"/>
      <c r="AD51" s="147">
        <v>0</v>
      </c>
      <c r="AE51" s="754">
        <v>27864.274285714284</v>
      </c>
      <c r="AF51" s="147">
        <v>0</v>
      </c>
      <c r="AG51" s="147">
        <v>1701628.713804188</v>
      </c>
      <c r="AH51" s="117">
        <v>1</v>
      </c>
      <c r="AK51" s="148">
        <v>0</v>
      </c>
      <c r="AL51" s="148">
        <v>160.01200000000003</v>
      </c>
      <c r="AM51" s="148">
        <v>97.113689095127597</v>
      </c>
      <c r="AN51" s="148">
        <v>0</v>
      </c>
      <c r="AO51" s="148">
        <v>154.77494199535971</v>
      </c>
      <c r="AP51" s="148">
        <v>90.032482598608013</v>
      </c>
      <c r="AQ51" s="148">
        <v>2.0232018561484937</v>
      </c>
      <c r="AR51" s="148">
        <v>50.580046403712124</v>
      </c>
      <c r="AW51" s="42">
        <v>410</v>
      </c>
      <c r="AX51" s="42">
        <v>0</v>
      </c>
      <c r="AY51" s="250"/>
    </row>
    <row r="52" spans="1:51" x14ac:dyDescent="0.2">
      <c r="A52" s="13" t="s">
        <v>53</v>
      </c>
      <c r="B52" s="11">
        <v>2000</v>
      </c>
      <c r="C52" s="147">
        <v>299</v>
      </c>
      <c r="D52" s="147">
        <v>299</v>
      </c>
      <c r="E52" s="253"/>
      <c r="F52" s="253"/>
      <c r="G52" s="253"/>
      <c r="H52" s="253"/>
      <c r="I52" s="732">
        <v>103.84379999999999</v>
      </c>
      <c r="J52" s="733"/>
      <c r="K52" s="732">
        <v>79.577319587628722</v>
      </c>
      <c r="L52" s="253"/>
      <c r="M52" s="732">
        <v>24.927835051546396</v>
      </c>
      <c r="N52" s="253"/>
      <c r="O52" s="732">
        <v>144.77319587628872</v>
      </c>
      <c r="P52" s="253"/>
      <c r="Q52" s="732">
        <v>9.5876288659793882</v>
      </c>
      <c r="R52" s="253"/>
      <c r="S52" s="732">
        <v>3.835051546391766</v>
      </c>
      <c r="T52" s="253"/>
      <c r="U52" s="732">
        <v>2.8762886597938246</v>
      </c>
      <c r="V52" s="253"/>
      <c r="W52" s="732">
        <v>0</v>
      </c>
      <c r="X52" s="253"/>
      <c r="Y52" s="253"/>
      <c r="Z52" s="732">
        <v>11.803846153846152</v>
      </c>
      <c r="AA52" s="253"/>
      <c r="AB52" s="732">
        <v>32.65886287625419</v>
      </c>
      <c r="AC52" s="253"/>
      <c r="AD52" s="147">
        <v>0</v>
      </c>
      <c r="AE52" s="147">
        <v>15837.64</v>
      </c>
      <c r="AF52" s="147">
        <v>0</v>
      </c>
      <c r="AG52" s="147">
        <v>1113857.9573219677</v>
      </c>
      <c r="AH52" s="117">
        <v>1</v>
      </c>
      <c r="AK52" s="148">
        <v>0</v>
      </c>
      <c r="AL52" s="148">
        <v>103.84379999999999</v>
      </c>
      <c r="AM52" s="148">
        <v>79.577319587628722</v>
      </c>
      <c r="AN52" s="148">
        <v>24.927835051546396</v>
      </c>
      <c r="AO52" s="148">
        <v>144.77319587628872</v>
      </c>
      <c r="AP52" s="148">
        <v>9.5876288659793882</v>
      </c>
      <c r="AQ52" s="148">
        <v>3.835051546391766</v>
      </c>
      <c r="AR52" s="148">
        <v>2.8762886597938246</v>
      </c>
      <c r="AW52" s="42">
        <v>307</v>
      </c>
      <c r="AX52" s="42">
        <v>0</v>
      </c>
      <c r="AY52" s="250"/>
    </row>
    <row r="53" spans="1:51" x14ac:dyDescent="0.2">
      <c r="A53" s="13" t="s">
        <v>54</v>
      </c>
      <c r="B53" s="11">
        <v>2458</v>
      </c>
      <c r="C53" s="147">
        <v>269</v>
      </c>
      <c r="D53" s="147">
        <v>269</v>
      </c>
      <c r="E53" s="253"/>
      <c r="F53" s="253"/>
      <c r="G53" s="253"/>
      <c r="H53" s="253"/>
      <c r="I53" s="732">
        <v>39.838900000000002</v>
      </c>
      <c r="J53" s="733"/>
      <c r="K53" s="732">
        <v>27.100746268656604</v>
      </c>
      <c r="L53" s="253"/>
      <c r="M53" s="732">
        <v>0</v>
      </c>
      <c r="N53" s="253"/>
      <c r="O53" s="732">
        <v>78.291044776119406</v>
      </c>
      <c r="P53" s="253"/>
      <c r="Q53" s="732">
        <v>15.055970149253719</v>
      </c>
      <c r="R53" s="253"/>
      <c r="S53" s="732">
        <v>3.0111940298507545</v>
      </c>
      <c r="T53" s="253"/>
      <c r="U53" s="732">
        <v>4.0149253731343393</v>
      </c>
      <c r="V53" s="253"/>
      <c r="W53" s="732">
        <v>0.99629629629629635</v>
      </c>
      <c r="X53" s="253"/>
      <c r="Y53" s="253"/>
      <c r="Z53" s="732">
        <v>126.23463687150844</v>
      </c>
      <c r="AA53" s="253"/>
      <c r="AB53" s="732">
        <v>9.0000000000000089</v>
      </c>
      <c r="AC53" s="253"/>
      <c r="AD53" s="147">
        <v>0</v>
      </c>
      <c r="AE53" s="147">
        <v>3165.76</v>
      </c>
      <c r="AF53" s="147">
        <v>0</v>
      </c>
      <c r="AG53" s="147">
        <v>935161.36942739727</v>
      </c>
      <c r="AH53" s="117">
        <v>1</v>
      </c>
      <c r="AK53" s="148">
        <v>0</v>
      </c>
      <c r="AL53" s="148">
        <v>39.838900000000002</v>
      </c>
      <c r="AM53" s="148">
        <v>27.100746268656604</v>
      </c>
      <c r="AN53" s="148">
        <v>0</v>
      </c>
      <c r="AO53" s="148">
        <v>78.291044776119406</v>
      </c>
      <c r="AP53" s="148">
        <v>15.055970149253719</v>
      </c>
      <c r="AQ53" s="148">
        <v>3.0111940298507545</v>
      </c>
      <c r="AR53" s="148">
        <v>4.0149253731343393</v>
      </c>
      <c r="AW53" s="42">
        <v>268</v>
      </c>
      <c r="AX53" s="42">
        <v>0</v>
      </c>
      <c r="AY53" s="250"/>
    </row>
    <row r="54" spans="1:51" x14ac:dyDescent="0.2">
      <c r="A54" s="13" t="s">
        <v>55</v>
      </c>
      <c r="B54" s="11">
        <v>2001</v>
      </c>
      <c r="C54" s="147">
        <v>311</v>
      </c>
      <c r="D54" s="147">
        <v>311</v>
      </c>
      <c r="E54" s="253"/>
      <c r="F54" s="253"/>
      <c r="G54" s="253"/>
      <c r="H54" s="253"/>
      <c r="I54" s="732">
        <v>205.19780000000003</v>
      </c>
      <c r="J54" s="733"/>
      <c r="K54" s="732">
        <v>45.438311688311657</v>
      </c>
      <c r="L54" s="253"/>
      <c r="M54" s="732">
        <v>29.282467532467546</v>
      </c>
      <c r="N54" s="253"/>
      <c r="O54" s="732">
        <v>13.126623376623375</v>
      </c>
      <c r="P54" s="253"/>
      <c r="Q54" s="732">
        <v>17.165584415584416</v>
      </c>
      <c r="R54" s="253"/>
      <c r="S54" s="732">
        <v>172.66558441558436</v>
      </c>
      <c r="T54" s="253"/>
      <c r="U54" s="732">
        <v>0</v>
      </c>
      <c r="V54" s="253"/>
      <c r="W54" s="732">
        <v>0</v>
      </c>
      <c r="X54" s="253"/>
      <c r="Y54" s="253"/>
      <c r="Z54" s="732">
        <v>19.824701195219113</v>
      </c>
      <c r="AA54" s="253"/>
      <c r="AB54" s="732">
        <v>32.999999999999858</v>
      </c>
      <c r="AC54" s="253"/>
      <c r="AD54" s="147">
        <v>0</v>
      </c>
      <c r="AE54" s="147">
        <v>17981.080000000002</v>
      </c>
      <c r="AF54" s="147">
        <v>0</v>
      </c>
      <c r="AG54" s="147">
        <v>1347929.3418811646</v>
      </c>
      <c r="AH54" s="117">
        <v>1</v>
      </c>
      <c r="AK54" s="148">
        <v>0</v>
      </c>
      <c r="AL54" s="148">
        <v>205.19780000000003</v>
      </c>
      <c r="AM54" s="148">
        <v>45.438311688311657</v>
      </c>
      <c r="AN54" s="148">
        <v>29.282467532467546</v>
      </c>
      <c r="AO54" s="148">
        <v>13.126623376623375</v>
      </c>
      <c r="AP54" s="148">
        <v>17.165584415584416</v>
      </c>
      <c r="AQ54" s="148">
        <v>172.66558441558436</v>
      </c>
      <c r="AR54" s="148">
        <v>0</v>
      </c>
      <c r="AW54" s="42">
        <v>290</v>
      </c>
      <c r="AX54" s="42">
        <v>0</v>
      </c>
      <c r="AY54" s="250"/>
    </row>
    <row r="55" spans="1:51" x14ac:dyDescent="0.2">
      <c r="A55" s="13" t="s">
        <v>56</v>
      </c>
      <c r="B55" s="11">
        <v>2429</v>
      </c>
      <c r="C55" s="147">
        <v>151</v>
      </c>
      <c r="D55" s="147">
        <v>151</v>
      </c>
      <c r="E55" s="253"/>
      <c r="F55" s="253"/>
      <c r="G55" s="253"/>
      <c r="H55" s="253"/>
      <c r="I55" s="732">
        <v>47.731099999999998</v>
      </c>
      <c r="J55" s="733"/>
      <c r="K55" s="732">
        <v>0</v>
      </c>
      <c r="L55" s="253"/>
      <c r="M55" s="732">
        <v>4.0536912751677825</v>
      </c>
      <c r="N55" s="253"/>
      <c r="O55" s="732">
        <v>21.281879194630836</v>
      </c>
      <c r="P55" s="253"/>
      <c r="Q55" s="732">
        <v>105.39597315436241</v>
      </c>
      <c r="R55" s="253"/>
      <c r="S55" s="732">
        <v>2.0268456375838912</v>
      </c>
      <c r="T55" s="253"/>
      <c r="U55" s="732">
        <v>16.21476510067107</v>
      </c>
      <c r="V55" s="253"/>
      <c r="W55" s="732">
        <v>0</v>
      </c>
      <c r="X55" s="253"/>
      <c r="Y55" s="253"/>
      <c r="Z55" s="732">
        <v>112.88349514563113</v>
      </c>
      <c r="AA55" s="253"/>
      <c r="AB55" s="732">
        <v>5.9999999999999929</v>
      </c>
      <c r="AC55" s="253"/>
      <c r="AD55" s="147">
        <v>0</v>
      </c>
      <c r="AE55" s="147">
        <v>8811.92</v>
      </c>
      <c r="AF55" s="147">
        <v>0</v>
      </c>
      <c r="AG55" s="147">
        <v>724470.87707854749</v>
      </c>
      <c r="AH55" s="117">
        <v>1</v>
      </c>
      <c r="AK55" s="148">
        <v>0</v>
      </c>
      <c r="AL55" s="148">
        <v>47.731099999999998</v>
      </c>
      <c r="AM55" s="148">
        <v>0</v>
      </c>
      <c r="AN55" s="148">
        <v>4.0536912751677825</v>
      </c>
      <c r="AO55" s="148">
        <v>21.281879194630836</v>
      </c>
      <c r="AP55" s="148">
        <v>105.39597315436241</v>
      </c>
      <c r="AQ55" s="148">
        <v>2.0268456375838912</v>
      </c>
      <c r="AR55" s="148">
        <v>16.21476510067107</v>
      </c>
      <c r="AW55" s="42">
        <v>151</v>
      </c>
      <c r="AX55" s="42">
        <v>0</v>
      </c>
      <c r="AY55" s="250"/>
    </row>
    <row r="56" spans="1:51" x14ac:dyDescent="0.2">
      <c r="A56" s="13" t="s">
        <v>57</v>
      </c>
      <c r="B56" s="11">
        <v>2444</v>
      </c>
      <c r="C56" s="147">
        <v>209</v>
      </c>
      <c r="D56" s="147">
        <v>209</v>
      </c>
      <c r="E56" s="253"/>
      <c r="F56" s="253"/>
      <c r="G56" s="253"/>
      <c r="H56" s="253"/>
      <c r="I56" s="732">
        <v>48.989600000000003</v>
      </c>
      <c r="J56" s="733"/>
      <c r="K56" s="732">
        <v>30.289855072463759</v>
      </c>
      <c r="L56" s="253"/>
      <c r="M56" s="732">
        <v>46.444444444444393</v>
      </c>
      <c r="N56" s="253"/>
      <c r="O56" s="732">
        <v>6.0579710144927512</v>
      </c>
      <c r="P56" s="253"/>
      <c r="Q56" s="732">
        <v>60.579710144927517</v>
      </c>
      <c r="R56" s="253"/>
      <c r="S56" s="732">
        <v>19.183574879227059</v>
      </c>
      <c r="T56" s="253"/>
      <c r="U56" s="732">
        <v>14.135265700483094</v>
      </c>
      <c r="V56" s="253"/>
      <c r="W56" s="732">
        <v>1</v>
      </c>
      <c r="X56" s="253"/>
      <c r="Y56" s="253"/>
      <c r="Z56" s="732">
        <v>12.028776978417271</v>
      </c>
      <c r="AA56" s="253"/>
      <c r="AB56" s="732">
        <v>0.99999999999999978</v>
      </c>
      <c r="AC56" s="253"/>
      <c r="AD56" s="147">
        <v>0</v>
      </c>
      <c r="AE56" s="147">
        <v>9169.16</v>
      </c>
      <c r="AF56" s="147">
        <v>0</v>
      </c>
      <c r="AG56" s="147">
        <v>791528.90436046186</v>
      </c>
      <c r="AH56" s="117">
        <v>1</v>
      </c>
      <c r="AK56" s="148">
        <v>0</v>
      </c>
      <c r="AL56" s="148">
        <v>48.989600000000003</v>
      </c>
      <c r="AM56" s="148">
        <v>30.289855072463759</v>
      </c>
      <c r="AN56" s="148">
        <v>46.444444444444393</v>
      </c>
      <c r="AO56" s="148">
        <v>6.0579710144927512</v>
      </c>
      <c r="AP56" s="148">
        <v>60.579710144927517</v>
      </c>
      <c r="AQ56" s="148">
        <v>19.183574879227059</v>
      </c>
      <c r="AR56" s="148">
        <v>14.135265700483094</v>
      </c>
      <c r="AW56" s="42">
        <v>209</v>
      </c>
      <c r="AX56" s="42">
        <v>0</v>
      </c>
      <c r="AY56" s="250"/>
    </row>
    <row r="57" spans="1:51" x14ac:dyDescent="0.2">
      <c r="A57" s="13" t="s">
        <v>58</v>
      </c>
      <c r="B57" s="11">
        <v>5209</v>
      </c>
      <c r="C57" s="147">
        <v>279</v>
      </c>
      <c r="D57" s="147">
        <v>279</v>
      </c>
      <c r="E57" s="253"/>
      <c r="F57" s="253"/>
      <c r="G57" s="253"/>
      <c r="H57" s="253"/>
      <c r="I57" s="732">
        <v>119.27249999999999</v>
      </c>
      <c r="J57" s="733"/>
      <c r="K57" s="732">
        <v>41.445652173912997</v>
      </c>
      <c r="L57" s="253"/>
      <c r="M57" s="732">
        <v>52.565217391304273</v>
      </c>
      <c r="N57" s="253"/>
      <c r="O57" s="732">
        <v>12.130434782608692</v>
      </c>
      <c r="P57" s="253"/>
      <c r="Q57" s="732">
        <v>68.739130434782638</v>
      </c>
      <c r="R57" s="253"/>
      <c r="S57" s="732">
        <v>28.304347826087</v>
      </c>
      <c r="T57" s="253"/>
      <c r="U57" s="732">
        <v>24.260869565217384</v>
      </c>
      <c r="V57" s="253"/>
      <c r="W57" s="732">
        <v>1.037174721189591</v>
      </c>
      <c r="X57" s="253"/>
      <c r="Y57" s="253"/>
      <c r="Z57" s="732">
        <v>2.0000000000000009</v>
      </c>
      <c r="AA57" s="253"/>
      <c r="AB57" s="732">
        <v>19.000000000000011</v>
      </c>
      <c r="AC57" s="253"/>
      <c r="AD57" s="147">
        <v>0</v>
      </c>
      <c r="AE57" s="147">
        <v>2300.3760000000002</v>
      </c>
      <c r="AF57" s="147">
        <v>0</v>
      </c>
      <c r="AG57" s="147">
        <v>1065766.568604768</v>
      </c>
      <c r="AH57" s="117">
        <v>1</v>
      </c>
      <c r="AK57" s="148">
        <v>0</v>
      </c>
      <c r="AL57" s="148">
        <v>119.27249999999999</v>
      </c>
      <c r="AM57" s="148">
        <v>41.445652173912997</v>
      </c>
      <c r="AN57" s="148">
        <v>52.565217391304273</v>
      </c>
      <c r="AO57" s="148">
        <v>12.130434782608692</v>
      </c>
      <c r="AP57" s="148">
        <v>68.739130434782638</v>
      </c>
      <c r="AQ57" s="148">
        <v>28.304347826087</v>
      </c>
      <c r="AR57" s="148">
        <v>24.260869565217384</v>
      </c>
      <c r="AW57" s="42">
        <v>265</v>
      </c>
      <c r="AX57" s="42">
        <v>0</v>
      </c>
      <c r="AY57" s="250"/>
    </row>
    <row r="58" spans="1:51" x14ac:dyDescent="0.2">
      <c r="A58" s="13" t="s">
        <v>59</v>
      </c>
      <c r="B58" s="11">
        <v>2469</v>
      </c>
      <c r="C58" s="147">
        <v>386</v>
      </c>
      <c r="D58" s="147">
        <v>386</v>
      </c>
      <c r="E58" s="253"/>
      <c r="F58" s="253"/>
      <c r="G58" s="253"/>
      <c r="H58" s="253"/>
      <c r="I58" s="732">
        <v>54.078600000000002</v>
      </c>
      <c r="J58" s="733"/>
      <c r="K58" s="732">
        <v>11.086161879895567</v>
      </c>
      <c r="L58" s="253"/>
      <c r="M58" s="732">
        <v>15.117493472584856</v>
      </c>
      <c r="N58" s="253"/>
      <c r="O58" s="732">
        <v>21.164490861618791</v>
      </c>
      <c r="P58" s="253"/>
      <c r="Q58" s="732">
        <v>7.0548302872062774</v>
      </c>
      <c r="R58" s="253"/>
      <c r="S58" s="732">
        <v>9.0704960835509212</v>
      </c>
      <c r="T58" s="253"/>
      <c r="U58" s="732">
        <v>0</v>
      </c>
      <c r="V58" s="253"/>
      <c r="W58" s="732">
        <v>1.0604395604395604</v>
      </c>
      <c r="X58" s="253"/>
      <c r="Y58" s="253"/>
      <c r="Z58" s="732">
        <v>6.9341317365269362</v>
      </c>
      <c r="AA58" s="253"/>
      <c r="AB58" s="732">
        <v>59.999999999999986</v>
      </c>
      <c r="AC58" s="253"/>
      <c r="AD58" s="147">
        <v>0</v>
      </c>
      <c r="AE58" s="147">
        <v>13932.36</v>
      </c>
      <c r="AF58" s="147">
        <v>0</v>
      </c>
      <c r="AG58" s="147">
        <v>1242059.0918645023</v>
      </c>
      <c r="AH58" s="117">
        <v>1</v>
      </c>
      <c r="AK58" s="148">
        <v>0</v>
      </c>
      <c r="AL58" s="148">
        <v>54.078600000000002</v>
      </c>
      <c r="AM58" s="148">
        <v>11.086161879895567</v>
      </c>
      <c r="AN58" s="148">
        <v>15.117493472584856</v>
      </c>
      <c r="AO58" s="148">
        <v>21.164490861618791</v>
      </c>
      <c r="AP58" s="148">
        <v>7.0548302872062774</v>
      </c>
      <c r="AQ58" s="148">
        <v>9.0704960835509212</v>
      </c>
      <c r="AR58" s="148">
        <v>0</v>
      </c>
      <c r="AW58" s="42">
        <v>360</v>
      </c>
      <c r="AX58" s="42">
        <v>0</v>
      </c>
      <c r="AY58" s="250"/>
    </row>
    <row r="59" spans="1:51" x14ac:dyDescent="0.2">
      <c r="A59" s="13" t="s">
        <v>60</v>
      </c>
      <c r="B59" s="11">
        <v>2430</v>
      </c>
      <c r="C59" s="147">
        <v>112</v>
      </c>
      <c r="D59" s="147">
        <v>112</v>
      </c>
      <c r="E59" s="253"/>
      <c r="F59" s="253"/>
      <c r="G59" s="253"/>
      <c r="H59" s="253"/>
      <c r="I59" s="732">
        <v>61.454399999999993</v>
      </c>
      <c r="J59" s="733"/>
      <c r="K59" s="732">
        <v>2.0000000000000049</v>
      </c>
      <c r="L59" s="253"/>
      <c r="M59" s="732">
        <v>0</v>
      </c>
      <c r="N59" s="253"/>
      <c r="O59" s="732">
        <v>39.999999999999986</v>
      </c>
      <c r="P59" s="253"/>
      <c r="Q59" s="732">
        <v>3.9999999999999982</v>
      </c>
      <c r="R59" s="253"/>
      <c r="S59" s="732">
        <v>0</v>
      </c>
      <c r="T59" s="253"/>
      <c r="U59" s="732">
        <v>65.000000000000014</v>
      </c>
      <c r="V59" s="253"/>
      <c r="W59" s="732">
        <v>0</v>
      </c>
      <c r="X59" s="253"/>
      <c r="Y59" s="253"/>
      <c r="Z59" s="732">
        <v>30.434782608695695</v>
      </c>
      <c r="AA59" s="253"/>
      <c r="AB59" s="732">
        <v>18.000000000000032</v>
      </c>
      <c r="AC59" s="253"/>
      <c r="AD59" s="147">
        <v>0</v>
      </c>
      <c r="AE59" s="147">
        <v>19171.88</v>
      </c>
      <c r="AF59" s="147">
        <v>21538.503720649722</v>
      </c>
      <c r="AG59" s="147">
        <v>624761.31447134481</v>
      </c>
      <c r="AH59" s="117">
        <v>1</v>
      </c>
      <c r="AK59" s="148">
        <v>0</v>
      </c>
      <c r="AL59" s="148">
        <v>61.454399999999993</v>
      </c>
      <c r="AM59" s="148">
        <v>2.0000000000000049</v>
      </c>
      <c r="AN59" s="148">
        <v>0</v>
      </c>
      <c r="AO59" s="148">
        <v>39.999999999999986</v>
      </c>
      <c r="AP59" s="148">
        <v>3.9999999999999982</v>
      </c>
      <c r="AQ59" s="148">
        <v>0</v>
      </c>
      <c r="AR59" s="148">
        <v>65.000000000000014</v>
      </c>
      <c r="AW59" s="42">
        <v>116</v>
      </c>
      <c r="AX59" s="42">
        <v>0</v>
      </c>
      <c r="AY59" s="250"/>
    </row>
    <row r="60" spans="1:51" x14ac:dyDescent="0.2">
      <c r="A60" s="13" t="s">
        <v>61</v>
      </c>
      <c r="B60" s="11">
        <v>2466</v>
      </c>
      <c r="C60" s="147">
        <v>164</v>
      </c>
      <c r="D60" s="147">
        <v>164</v>
      </c>
      <c r="E60" s="253"/>
      <c r="F60" s="253"/>
      <c r="G60" s="253"/>
      <c r="H60" s="253"/>
      <c r="I60" s="732">
        <v>46.690800000000003</v>
      </c>
      <c r="J60" s="733"/>
      <c r="K60" s="732">
        <v>39.239263803681048</v>
      </c>
      <c r="L60" s="253"/>
      <c r="M60" s="732">
        <v>23.141104294478591</v>
      </c>
      <c r="N60" s="253"/>
      <c r="O60" s="732">
        <v>6.0368098159509129</v>
      </c>
      <c r="P60" s="253"/>
      <c r="Q60" s="732">
        <v>9.0552147239263867</v>
      </c>
      <c r="R60" s="253"/>
      <c r="S60" s="732">
        <v>4.0245398773006142</v>
      </c>
      <c r="T60" s="253"/>
      <c r="U60" s="732">
        <v>0</v>
      </c>
      <c r="V60" s="253"/>
      <c r="W60" s="732">
        <v>0</v>
      </c>
      <c r="X60" s="253"/>
      <c r="Y60" s="253"/>
      <c r="Z60" s="732">
        <v>2.4477611940298574</v>
      </c>
      <c r="AA60" s="253"/>
      <c r="AB60" s="732">
        <v>19.999999999999979</v>
      </c>
      <c r="AC60" s="253"/>
      <c r="AD60" s="147">
        <v>0</v>
      </c>
      <c r="AE60" s="147">
        <v>11908</v>
      </c>
      <c r="AF60" s="147">
        <v>0</v>
      </c>
      <c r="AG60" s="147">
        <v>663021.10553756158</v>
      </c>
      <c r="AH60" s="117">
        <v>1</v>
      </c>
      <c r="AK60" s="148">
        <v>0</v>
      </c>
      <c r="AL60" s="148">
        <v>46.690800000000003</v>
      </c>
      <c r="AM60" s="148">
        <v>39.239263803681048</v>
      </c>
      <c r="AN60" s="148">
        <v>23.141104294478591</v>
      </c>
      <c r="AO60" s="148">
        <v>6.0368098159509129</v>
      </c>
      <c r="AP60" s="148">
        <v>9.0552147239263867</v>
      </c>
      <c r="AQ60" s="148">
        <v>4.0245398773006142</v>
      </c>
      <c r="AR60" s="148">
        <v>0</v>
      </c>
      <c r="AW60" s="42">
        <v>133</v>
      </c>
      <c r="AX60" s="42">
        <v>0</v>
      </c>
      <c r="AY60" s="250"/>
    </row>
    <row r="61" spans="1:51" x14ac:dyDescent="0.2">
      <c r="A61" s="13" t="s">
        <v>106</v>
      </c>
      <c r="B61" s="11">
        <v>3543</v>
      </c>
      <c r="C61" s="147">
        <v>286</v>
      </c>
      <c r="D61" s="147">
        <v>286</v>
      </c>
      <c r="E61" s="253"/>
      <c r="F61" s="253"/>
      <c r="G61" s="253"/>
      <c r="H61" s="253"/>
      <c r="I61" s="732">
        <v>56.799599999999998</v>
      </c>
      <c r="J61" s="733"/>
      <c r="K61" s="732">
        <v>39.274647887323994</v>
      </c>
      <c r="L61" s="253"/>
      <c r="M61" s="732">
        <v>14.098591549295767</v>
      </c>
      <c r="N61" s="253"/>
      <c r="O61" s="732">
        <v>33.232394366197312</v>
      </c>
      <c r="P61" s="253"/>
      <c r="Q61" s="732">
        <v>11.077464788732399</v>
      </c>
      <c r="R61" s="253"/>
      <c r="S61" s="732">
        <v>37.260563380281674</v>
      </c>
      <c r="T61" s="253"/>
      <c r="U61" s="732">
        <v>2.0140845070422535</v>
      </c>
      <c r="V61" s="253"/>
      <c r="W61" s="732">
        <v>0</v>
      </c>
      <c r="X61" s="253"/>
      <c r="Y61" s="253"/>
      <c r="Z61" s="732">
        <v>21.272727272727273</v>
      </c>
      <c r="AA61" s="253"/>
      <c r="AB61" s="732">
        <v>9.0000000000000089</v>
      </c>
      <c r="AC61" s="253"/>
      <c r="AD61" s="147">
        <v>0</v>
      </c>
      <c r="AE61" s="147">
        <v>2869.7759999999998</v>
      </c>
      <c r="AF61" s="147">
        <v>0</v>
      </c>
      <c r="AG61" s="147">
        <v>961480.34907121223</v>
      </c>
      <c r="AH61" s="117">
        <v>1</v>
      </c>
      <c r="AK61" s="148">
        <v>0</v>
      </c>
      <c r="AL61" s="148">
        <v>56.799599999999998</v>
      </c>
      <c r="AM61" s="148">
        <v>39.274647887323994</v>
      </c>
      <c r="AN61" s="148">
        <v>14.098591549295767</v>
      </c>
      <c r="AO61" s="148">
        <v>33.232394366197312</v>
      </c>
      <c r="AP61" s="148">
        <v>11.077464788732399</v>
      </c>
      <c r="AQ61" s="148">
        <v>37.260563380281674</v>
      </c>
      <c r="AR61" s="148">
        <v>2.0140845070422535</v>
      </c>
      <c r="AW61" s="42">
        <v>277</v>
      </c>
      <c r="AX61" s="42">
        <v>0</v>
      </c>
      <c r="AY61" s="250"/>
    </row>
    <row r="62" spans="1:51" x14ac:dyDescent="0.2">
      <c r="A62" s="127" t="s">
        <v>623</v>
      </c>
      <c r="B62" s="243">
        <v>3531</v>
      </c>
      <c r="C62" s="147">
        <v>340</v>
      </c>
      <c r="D62" s="147">
        <v>340</v>
      </c>
      <c r="E62" s="253"/>
      <c r="F62" s="253"/>
      <c r="G62" s="253"/>
      <c r="H62" s="253"/>
      <c r="I62" s="732">
        <v>103.938</v>
      </c>
      <c r="J62" s="733"/>
      <c r="K62" s="732">
        <v>15.454545454545469</v>
      </c>
      <c r="L62" s="253"/>
      <c r="M62" s="732">
        <v>4.121212121212114</v>
      </c>
      <c r="N62" s="253"/>
      <c r="O62" s="732">
        <v>49.454545454545304</v>
      </c>
      <c r="P62" s="253"/>
      <c r="Q62" s="732">
        <v>50.484848484848321</v>
      </c>
      <c r="R62" s="253"/>
      <c r="S62" s="732">
        <v>13.393939393939394</v>
      </c>
      <c r="T62" s="253"/>
      <c r="U62" s="732">
        <v>53.57575757575772</v>
      </c>
      <c r="V62" s="253"/>
      <c r="W62" s="732">
        <v>0</v>
      </c>
      <c r="X62" s="253"/>
      <c r="Y62" s="253"/>
      <c r="Z62" s="732">
        <v>25.05263157894737</v>
      </c>
      <c r="AA62" s="253"/>
      <c r="AB62" s="732">
        <v>31.000000000000004</v>
      </c>
      <c r="AC62" s="253"/>
      <c r="AD62" s="147">
        <v>0</v>
      </c>
      <c r="AE62" s="147">
        <v>2869.7759999999998</v>
      </c>
      <c r="AF62" s="147">
        <v>0</v>
      </c>
      <c r="AG62" s="147">
        <v>1252493.4453686026</v>
      </c>
      <c r="AH62" s="117">
        <v>1</v>
      </c>
      <c r="AK62" s="148">
        <v>0</v>
      </c>
      <c r="AL62" s="148">
        <v>103.938</v>
      </c>
      <c r="AM62" s="148">
        <v>15.454545454545469</v>
      </c>
      <c r="AN62" s="148">
        <v>4.121212121212114</v>
      </c>
      <c r="AO62" s="148">
        <v>49.454545454545304</v>
      </c>
      <c r="AP62" s="148">
        <v>50.484848484848321</v>
      </c>
      <c r="AQ62" s="148">
        <v>13.393939393939394</v>
      </c>
      <c r="AR62" s="148">
        <v>53.57575757575772</v>
      </c>
      <c r="AW62" s="42">
        <v>345</v>
      </c>
      <c r="AX62" s="42">
        <v>0</v>
      </c>
      <c r="AY62" s="250"/>
    </row>
    <row r="63" spans="1:51" x14ac:dyDescent="0.2">
      <c r="A63" s="13" t="s">
        <v>63</v>
      </c>
      <c r="B63" s="11">
        <v>3526</v>
      </c>
      <c r="C63" s="147">
        <v>90</v>
      </c>
      <c r="D63" s="147">
        <v>90</v>
      </c>
      <c r="E63" s="253"/>
      <c r="F63" s="253"/>
      <c r="G63" s="253"/>
      <c r="H63" s="253"/>
      <c r="I63" s="732">
        <v>28.637999999999998</v>
      </c>
      <c r="J63" s="733"/>
      <c r="K63" s="732">
        <v>0</v>
      </c>
      <c r="L63" s="253"/>
      <c r="M63" s="732">
        <v>8.1818181818181817</v>
      </c>
      <c r="N63" s="253"/>
      <c r="O63" s="732">
        <v>16.363636363636378</v>
      </c>
      <c r="P63" s="253"/>
      <c r="Q63" s="732">
        <v>37.840909090909051</v>
      </c>
      <c r="R63" s="253"/>
      <c r="S63" s="732">
        <v>0</v>
      </c>
      <c r="T63" s="253"/>
      <c r="U63" s="732">
        <v>25.568181818181809</v>
      </c>
      <c r="V63" s="253"/>
      <c r="W63" s="732">
        <v>0</v>
      </c>
      <c r="X63" s="253"/>
      <c r="Y63" s="253"/>
      <c r="Z63" s="732">
        <v>48.813559322033875</v>
      </c>
      <c r="AA63" s="253"/>
      <c r="AB63" s="732">
        <v>8.0000000000000018</v>
      </c>
      <c r="AC63" s="253"/>
      <c r="AD63" s="147">
        <v>0</v>
      </c>
      <c r="AE63" s="147">
        <v>1063.6142399999999</v>
      </c>
      <c r="AF63" s="147">
        <v>0</v>
      </c>
      <c r="AG63" s="147">
        <v>452202.54086699727</v>
      </c>
      <c r="AH63" s="117">
        <v>1</v>
      </c>
      <c r="AK63" s="148">
        <v>0</v>
      </c>
      <c r="AL63" s="148">
        <v>28.637999999999998</v>
      </c>
      <c r="AM63" s="148">
        <v>0</v>
      </c>
      <c r="AN63" s="148">
        <v>8.1818181818181817</v>
      </c>
      <c r="AO63" s="148">
        <v>16.363636363636378</v>
      </c>
      <c r="AP63" s="148">
        <v>37.840909090909051</v>
      </c>
      <c r="AQ63" s="148">
        <v>0</v>
      </c>
      <c r="AR63" s="148">
        <v>25.568181818181809</v>
      </c>
      <c r="AW63" s="42">
        <v>90</v>
      </c>
      <c r="AX63" s="42">
        <v>0</v>
      </c>
      <c r="AY63" s="250"/>
    </row>
    <row r="64" spans="1:51" x14ac:dyDescent="0.2">
      <c r="A64" s="13" t="s">
        <v>64</v>
      </c>
      <c r="B64" s="11">
        <v>3535</v>
      </c>
      <c r="C64" s="147">
        <v>294</v>
      </c>
      <c r="D64" s="147">
        <v>294</v>
      </c>
      <c r="E64" s="253"/>
      <c r="F64" s="253"/>
      <c r="G64" s="253"/>
      <c r="H64" s="253"/>
      <c r="I64" s="732">
        <v>117.3648</v>
      </c>
      <c r="J64" s="733"/>
      <c r="K64" s="732">
        <v>0</v>
      </c>
      <c r="L64" s="253"/>
      <c r="M64" s="732">
        <v>25.171232876712335</v>
      </c>
      <c r="N64" s="253"/>
      <c r="O64" s="732">
        <v>74.506849315068607</v>
      </c>
      <c r="P64" s="253"/>
      <c r="Q64" s="732">
        <v>145.99315068493138</v>
      </c>
      <c r="R64" s="253"/>
      <c r="S64" s="732">
        <v>2.0136986301369864</v>
      </c>
      <c r="T64" s="253"/>
      <c r="U64" s="732">
        <v>36.246575342465839</v>
      </c>
      <c r="V64" s="253"/>
      <c r="W64" s="732">
        <v>0</v>
      </c>
      <c r="X64" s="253"/>
      <c r="Y64" s="253"/>
      <c r="Z64" s="732">
        <v>115.17525773195888</v>
      </c>
      <c r="AA64" s="253"/>
      <c r="AB64" s="732">
        <v>33.000000000000099</v>
      </c>
      <c r="AC64" s="253"/>
      <c r="AD64" s="147">
        <v>0</v>
      </c>
      <c r="AE64" s="147">
        <v>2254.8240000000005</v>
      </c>
      <c r="AF64" s="147">
        <v>0</v>
      </c>
      <c r="AG64" s="147">
        <v>1372711.5430279316</v>
      </c>
      <c r="AH64" s="117">
        <v>1</v>
      </c>
      <c r="AK64" s="148">
        <v>0</v>
      </c>
      <c r="AL64" s="148">
        <v>117.3648</v>
      </c>
      <c r="AM64" s="148">
        <v>0</v>
      </c>
      <c r="AN64" s="148">
        <v>25.171232876712335</v>
      </c>
      <c r="AO64" s="148">
        <v>74.506849315068607</v>
      </c>
      <c r="AP64" s="148">
        <v>145.99315068493138</v>
      </c>
      <c r="AQ64" s="148">
        <v>2.0136986301369864</v>
      </c>
      <c r="AR64" s="148">
        <v>36.246575342465839</v>
      </c>
      <c r="AW64" s="42">
        <v>255</v>
      </c>
      <c r="AX64" s="42">
        <v>0</v>
      </c>
      <c r="AY64" s="250"/>
    </row>
    <row r="65" spans="1:51" x14ac:dyDescent="0.2">
      <c r="A65" s="245" t="s">
        <v>620</v>
      </c>
      <c r="B65" s="246">
        <v>2008</v>
      </c>
      <c r="C65" s="147">
        <v>218</v>
      </c>
      <c r="D65" s="147">
        <v>218</v>
      </c>
      <c r="E65" s="253"/>
      <c r="F65" s="253"/>
      <c r="G65" s="253"/>
      <c r="H65" s="253"/>
      <c r="I65" s="732">
        <v>74.708600000000004</v>
      </c>
      <c r="J65" s="733"/>
      <c r="K65" s="732">
        <v>18.166666666666661</v>
      </c>
      <c r="L65" s="253"/>
      <c r="M65" s="732">
        <v>23.212962962962859</v>
      </c>
      <c r="N65" s="253"/>
      <c r="O65" s="732">
        <v>27.25</v>
      </c>
      <c r="P65" s="253"/>
      <c r="Q65" s="732">
        <v>59.546296296296255</v>
      </c>
      <c r="R65" s="253"/>
      <c r="S65" s="732">
        <v>25.231481481481538</v>
      </c>
      <c r="T65" s="253"/>
      <c r="U65" s="732">
        <v>11.101851851851846</v>
      </c>
      <c r="V65" s="253"/>
      <c r="W65" s="732">
        <v>0</v>
      </c>
      <c r="X65" s="253"/>
      <c r="Y65" s="253"/>
      <c r="Z65" s="732">
        <v>16.234042553191493</v>
      </c>
      <c r="AA65" s="253"/>
      <c r="AB65" s="732">
        <v>0</v>
      </c>
      <c r="AC65" s="253"/>
      <c r="AD65" s="147">
        <v>0</v>
      </c>
      <c r="AE65" s="754">
        <v>2345.9279999999999</v>
      </c>
      <c r="AF65" s="147">
        <v>0</v>
      </c>
      <c r="AG65" s="743">
        <v>880764.2597122282</v>
      </c>
      <c r="AH65" s="117">
        <v>1</v>
      </c>
      <c r="AK65" s="148">
        <v>0</v>
      </c>
      <c r="AL65" s="148">
        <v>74.708600000000004</v>
      </c>
      <c r="AM65" s="148">
        <v>18.166666666666661</v>
      </c>
      <c r="AN65" s="148">
        <v>23.212962962962859</v>
      </c>
      <c r="AO65" s="148">
        <v>27.25</v>
      </c>
      <c r="AP65" s="148">
        <v>59.546296296296255</v>
      </c>
      <c r="AQ65" s="148">
        <v>25.231481481481538</v>
      </c>
      <c r="AR65" s="148">
        <v>11.101851851851846</v>
      </c>
      <c r="AW65" s="42">
        <v>209</v>
      </c>
      <c r="AX65" s="42">
        <v>0</v>
      </c>
      <c r="AY65" s="250"/>
    </row>
    <row r="66" spans="1:51" x14ac:dyDescent="0.2">
      <c r="A66" s="13" t="s">
        <v>65</v>
      </c>
      <c r="B66" s="11">
        <v>3542</v>
      </c>
      <c r="C66" s="147">
        <v>353</v>
      </c>
      <c r="D66" s="147">
        <v>353</v>
      </c>
      <c r="E66" s="253"/>
      <c r="F66" s="253"/>
      <c r="G66" s="253"/>
      <c r="H66" s="253"/>
      <c r="I66" s="732">
        <v>61.704400000000007</v>
      </c>
      <c r="J66" s="733"/>
      <c r="K66" s="732">
        <v>11</v>
      </c>
      <c r="L66" s="253"/>
      <c r="M66" s="732">
        <v>78.000000000000156</v>
      </c>
      <c r="N66" s="253"/>
      <c r="O66" s="732">
        <v>71.999999999999872</v>
      </c>
      <c r="P66" s="253"/>
      <c r="Q66" s="732">
        <v>47.000000000000036</v>
      </c>
      <c r="R66" s="253"/>
      <c r="S66" s="732">
        <v>24.000000000000004</v>
      </c>
      <c r="T66" s="253"/>
      <c r="U66" s="732">
        <v>21.000000000000004</v>
      </c>
      <c r="V66" s="253"/>
      <c r="W66" s="732">
        <v>1.0114613180515759</v>
      </c>
      <c r="X66" s="253"/>
      <c r="Y66" s="253"/>
      <c r="Z66" s="732">
        <v>80.280936454849638</v>
      </c>
      <c r="AA66" s="253"/>
      <c r="AB66" s="732">
        <v>17</v>
      </c>
      <c r="AC66" s="253"/>
      <c r="AD66" s="147">
        <v>0</v>
      </c>
      <c r="AE66" s="147">
        <v>4190.7839999999997</v>
      </c>
      <c r="AF66" s="147">
        <v>0</v>
      </c>
      <c r="AG66" s="147">
        <v>1248643.9154231872</v>
      </c>
      <c r="AH66" s="117">
        <v>1</v>
      </c>
      <c r="AK66" s="148">
        <v>0</v>
      </c>
      <c r="AL66" s="148">
        <v>61.704400000000007</v>
      </c>
      <c r="AM66" s="148">
        <v>11</v>
      </c>
      <c r="AN66" s="148">
        <v>78.000000000000156</v>
      </c>
      <c r="AO66" s="148">
        <v>71.999999999999872</v>
      </c>
      <c r="AP66" s="148">
        <v>47.000000000000036</v>
      </c>
      <c r="AQ66" s="148">
        <v>24.000000000000004</v>
      </c>
      <c r="AR66" s="148">
        <v>21.000000000000004</v>
      </c>
      <c r="AW66" s="42">
        <v>352</v>
      </c>
      <c r="AX66" s="42">
        <v>0</v>
      </c>
      <c r="AY66" s="250"/>
    </row>
    <row r="67" spans="1:51" x14ac:dyDescent="0.2">
      <c r="A67" s="13" t="s">
        <v>66</v>
      </c>
      <c r="B67" s="11">
        <v>3528</v>
      </c>
      <c r="C67" s="147">
        <v>342</v>
      </c>
      <c r="D67" s="147">
        <v>342</v>
      </c>
      <c r="E67" s="253"/>
      <c r="F67" s="253"/>
      <c r="G67" s="253"/>
      <c r="H67" s="253"/>
      <c r="I67" s="732">
        <v>70.7256</v>
      </c>
      <c r="J67" s="733"/>
      <c r="K67" s="732">
        <v>14.165680473372792</v>
      </c>
      <c r="L67" s="253"/>
      <c r="M67" s="732">
        <v>40.473372781065024</v>
      </c>
      <c r="N67" s="253"/>
      <c r="O67" s="732">
        <v>90.053254437869953</v>
      </c>
      <c r="P67" s="253"/>
      <c r="Q67" s="732">
        <v>26.307692307692299</v>
      </c>
      <c r="R67" s="253"/>
      <c r="S67" s="732">
        <v>22.260355029585799</v>
      </c>
      <c r="T67" s="253"/>
      <c r="U67" s="732">
        <v>18.213017751479295</v>
      </c>
      <c r="V67" s="253"/>
      <c r="W67" s="732">
        <v>1.0555555555555556</v>
      </c>
      <c r="X67" s="253"/>
      <c r="Y67" s="253"/>
      <c r="Z67" s="732">
        <v>47.430656934306462</v>
      </c>
      <c r="AA67" s="253"/>
      <c r="AB67" s="732">
        <v>25.000000000000014</v>
      </c>
      <c r="AC67" s="253"/>
      <c r="AD67" s="147">
        <v>0</v>
      </c>
      <c r="AE67" s="147">
        <v>7516.0799999999981</v>
      </c>
      <c r="AF67" s="147">
        <v>0</v>
      </c>
      <c r="AG67" s="147">
        <v>1165690.800203237</v>
      </c>
      <c r="AH67" s="117">
        <v>1</v>
      </c>
      <c r="AK67" s="148">
        <v>0</v>
      </c>
      <c r="AL67" s="148">
        <v>70.7256</v>
      </c>
      <c r="AM67" s="148">
        <v>14.165680473372792</v>
      </c>
      <c r="AN67" s="148">
        <v>40.473372781065024</v>
      </c>
      <c r="AO67" s="148">
        <v>90.053254437869953</v>
      </c>
      <c r="AP67" s="148">
        <v>26.307692307692299</v>
      </c>
      <c r="AQ67" s="148">
        <v>22.260355029585799</v>
      </c>
      <c r="AR67" s="148">
        <v>18.213017751479295</v>
      </c>
      <c r="AW67" s="42">
        <v>329</v>
      </c>
      <c r="AX67" s="42">
        <v>0</v>
      </c>
      <c r="AY67" s="250"/>
    </row>
    <row r="68" spans="1:51" x14ac:dyDescent="0.2">
      <c r="A68" s="13" t="s">
        <v>67</v>
      </c>
      <c r="B68" s="11">
        <v>3534</v>
      </c>
      <c r="C68" s="147">
        <v>240</v>
      </c>
      <c r="D68" s="147">
        <v>240</v>
      </c>
      <c r="E68" s="253"/>
      <c r="F68" s="253"/>
      <c r="G68" s="253"/>
      <c r="H68" s="253"/>
      <c r="I68" s="732">
        <v>41.688000000000002</v>
      </c>
      <c r="J68" s="733"/>
      <c r="K68" s="732">
        <v>8.101265822784816</v>
      </c>
      <c r="L68" s="253"/>
      <c r="M68" s="732">
        <v>9.113924050632912</v>
      </c>
      <c r="N68" s="253"/>
      <c r="O68" s="732">
        <v>19.24050632911392</v>
      </c>
      <c r="P68" s="253"/>
      <c r="Q68" s="732">
        <v>11.139240506329104</v>
      </c>
      <c r="R68" s="253"/>
      <c r="S68" s="732">
        <v>1.0126582278481007</v>
      </c>
      <c r="T68" s="253"/>
      <c r="U68" s="732">
        <v>2.0253164556962013</v>
      </c>
      <c r="V68" s="253"/>
      <c r="W68" s="732">
        <v>3.050847457627119</v>
      </c>
      <c r="X68" s="253"/>
      <c r="Y68" s="253"/>
      <c r="Z68" s="732">
        <v>24.10041841004184</v>
      </c>
      <c r="AA68" s="253"/>
      <c r="AB68" s="732">
        <v>7.000000000000008</v>
      </c>
      <c r="AC68" s="253"/>
      <c r="AD68" s="147">
        <v>0</v>
      </c>
      <c r="AE68" s="147">
        <v>2528.1359999999986</v>
      </c>
      <c r="AF68" s="147">
        <v>0</v>
      </c>
      <c r="AG68" s="147">
        <v>797141.64246346557</v>
      </c>
      <c r="AH68" s="117">
        <v>1</v>
      </c>
      <c r="AK68" s="148">
        <v>0</v>
      </c>
      <c r="AL68" s="148">
        <v>41.688000000000002</v>
      </c>
      <c r="AM68" s="148">
        <v>8.101265822784816</v>
      </c>
      <c r="AN68" s="148">
        <v>9.113924050632912</v>
      </c>
      <c r="AO68" s="148">
        <v>19.24050632911392</v>
      </c>
      <c r="AP68" s="148">
        <v>11.139240506329104</v>
      </c>
      <c r="AQ68" s="148">
        <v>1.0126582278481007</v>
      </c>
      <c r="AR68" s="148">
        <v>2.0253164556962013</v>
      </c>
      <c r="AW68" s="42">
        <v>233</v>
      </c>
      <c r="AX68" s="42">
        <v>0</v>
      </c>
      <c r="AY68" s="250"/>
    </row>
    <row r="69" spans="1:51" x14ac:dyDescent="0.2">
      <c r="A69" s="13" t="s">
        <v>68</v>
      </c>
      <c r="B69" s="11">
        <v>3532</v>
      </c>
      <c r="C69" s="147">
        <v>304</v>
      </c>
      <c r="D69" s="147">
        <v>304</v>
      </c>
      <c r="E69" s="253"/>
      <c r="F69" s="253"/>
      <c r="G69" s="253"/>
      <c r="H69" s="253"/>
      <c r="I69" s="732">
        <v>30.886399999999998</v>
      </c>
      <c r="J69" s="733"/>
      <c r="K69" s="732">
        <v>56.558139534883729</v>
      </c>
      <c r="L69" s="253"/>
      <c r="M69" s="732">
        <v>21.20930232558139</v>
      </c>
      <c r="N69" s="253"/>
      <c r="O69" s="732">
        <v>7.0697674418604732</v>
      </c>
      <c r="P69" s="253"/>
      <c r="Q69" s="732">
        <v>6.0598006644518128</v>
      </c>
      <c r="R69" s="253"/>
      <c r="S69" s="732">
        <v>2.0199335548172761</v>
      </c>
      <c r="T69" s="253"/>
      <c r="U69" s="732">
        <v>1.0099667774086365</v>
      </c>
      <c r="V69" s="253"/>
      <c r="W69" s="732">
        <v>0</v>
      </c>
      <c r="X69" s="253"/>
      <c r="Y69" s="253"/>
      <c r="Z69" s="732">
        <v>0</v>
      </c>
      <c r="AA69" s="253"/>
      <c r="AB69" s="732">
        <v>14.000000000000011</v>
      </c>
      <c r="AC69" s="253"/>
      <c r="AD69" s="147">
        <v>0</v>
      </c>
      <c r="AE69" s="147">
        <v>3894.6959999999999</v>
      </c>
      <c r="AF69" s="147">
        <v>0</v>
      </c>
      <c r="AG69" s="147">
        <v>943467.9344705171</v>
      </c>
      <c r="AH69" s="117">
        <v>1</v>
      </c>
      <c r="AK69" s="148">
        <v>0</v>
      </c>
      <c r="AL69" s="148">
        <v>30.886399999999998</v>
      </c>
      <c r="AM69" s="148">
        <v>56.558139534883729</v>
      </c>
      <c r="AN69" s="148">
        <v>21.20930232558139</v>
      </c>
      <c r="AO69" s="148">
        <v>7.0697674418604732</v>
      </c>
      <c r="AP69" s="148">
        <v>6.0598006644518128</v>
      </c>
      <c r="AQ69" s="148">
        <v>2.0199335548172761</v>
      </c>
      <c r="AR69" s="148">
        <v>1.0099667774086365</v>
      </c>
      <c r="AW69" s="42">
        <v>305</v>
      </c>
      <c r="AX69" s="42">
        <v>0</v>
      </c>
      <c r="AY69" s="250"/>
    </row>
    <row r="70" spans="1:51" x14ac:dyDescent="0.2">
      <c r="A70" s="13" t="s">
        <v>69</v>
      </c>
      <c r="B70" s="11">
        <v>3546</v>
      </c>
      <c r="C70" s="147">
        <v>502</v>
      </c>
      <c r="D70" s="147">
        <v>502</v>
      </c>
      <c r="E70" s="253"/>
      <c r="F70" s="253"/>
      <c r="G70" s="253"/>
      <c r="H70" s="253"/>
      <c r="I70" s="732">
        <v>242.96799999999999</v>
      </c>
      <c r="J70" s="733"/>
      <c r="K70" s="732">
        <v>41.081836327345322</v>
      </c>
      <c r="L70" s="253"/>
      <c r="M70" s="732">
        <v>1.0019960079840338</v>
      </c>
      <c r="N70" s="253"/>
      <c r="O70" s="732">
        <v>38.075848303393229</v>
      </c>
      <c r="P70" s="253"/>
      <c r="Q70" s="732">
        <v>160.31936127744521</v>
      </c>
      <c r="R70" s="253"/>
      <c r="S70" s="732">
        <v>7.0139720558882468</v>
      </c>
      <c r="T70" s="253"/>
      <c r="U70" s="732">
        <v>216.43113772455078</v>
      </c>
      <c r="V70" s="253"/>
      <c r="W70" s="732">
        <v>3.012</v>
      </c>
      <c r="X70" s="253"/>
      <c r="Y70" s="253"/>
      <c r="Z70" s="732">
        <v>106.98360655737723</v>
      </c>
      <c r="AA70" s="253"/>
      <c r="AB70" s="732">
        <v>56.000000000000121</v>
      </c>
      <c r="AC70" s="253"/>
      <c r="AD70" s="147">
        <v>0</v>
      </c>
      <c r="AE70" s="147">
        <v>15813.823999999993</v>
      </c>
      <c r="AF70" s="147">
        <v>0</v>
      </c>
      <c r="AG70" s="147">
        <v>2263838.9028751478</v>
      </c>
      <c r="AH70" s="117">
        <v>1</v>
      </c>
      <c r="AK70" s="148">
        <v>0</v>
      </c>
      <c r="AL70" s="148">
        <v>242.96799999999999</v>
      </c>
      <c r="AM70" s="148">
        <v>41.081836327345322</v>
      </c>
      <c r="AN70" s="148">
        <v>1.0019960079840338</v>
      </c>
      <c r="AO70" s="148">
        <v>38.075848303393229</v>
      </c>
      <c r="AP70" s="148">
        <v>160.31936127744521</v>
      </c>
      <c r="AQ70" s="148">
        <v>7.0139720558882468</v>
      </c>
      <c r="AR70" s="148">
        <v>216.43113772455078</v>
      </c>
      <c r="AW70" s="42">
        <v>491</v>
      </c>
      <c r="AX70" s="42">
        <v>0</v>
      </c>
      <c r="AY70" s="250"/>
    </row>
    <row r="71" spans="1:51" x14ac:dyDescent="0.2">
      <c r="A71" s="13" t="s">
        <v>107</v>
      </c>
      <c r="B71" s="11">
        <v>3530</v>
      </c>
      <c r="C71" s="147">
        <v>303</v>
      </c>
      <c r="D71" s="147">
        <v>303</v>
      </c>
      <c r="E71" s="253"/>
      <c r="F71" s="253"/>
      <c r="G71" s="253"/>
      <c r="H71" s="253"/>
      <c r="I71" s="732">
        <v>12.453300000000002</v>
      </c>
      <c r="J71" s="733"/>
      <c r="K71" s="732">
        <v>1.0099999999999991</v>
      </c>
      <c r="L71" s="253"/>
      <c r="M71" s="732">
        <v>11.11000000000001</v>
      </c>
      <c r="N71" s="253"/>
      <c r="O71" s="732">
        <v>5.0500000000000105</v>
      </c>
      <c r="P71" s="253"/>
      <c r="Q71" s="732">
        <v>0</v>
      </c>
      <c r="R71" s="253"/>
      <c r="S71" s="732">
        <v>1.0099999999999991</v>
      </c>
      <c r="T71" s="253"/>
      <c r="U71" s="732">
        <v>0</v>
      </c>
      <c r="V71" s="253"/>
      <c r="W71" s="732">
        <v>2.0753424657534247</v>
      </c>
      <c r="X71" s="253"/>
      <c r="Y71" s="253"/>
      <c r="Z71" s="732">
        <v>2.3488372093023244</v>
      </c>
      <c r="AA71" s="253"/>
      <c r="AB71" s="732">
        <v>14.999999999999998</v>
      </c>
      <c r="AC71" s="253"/>
      <c r="AD71" s="147">
        <v>0</v>
      </c>
      <c r="AE71" s="147">
        <v>2482.5839999999989</v>
      </c>
      <c r="AF71" s="147">
        <v>0</v>
      </c>
      <c r="AG71" s="147">
        <v>896415.30313581636</v>
      </c>
      <c r="AH71" s="117">
        <v>1</v>
      </c>
      <c r="AK71" s="148">
        <v>0</v>
      </c>
      <c r="AL71" s="148">
        <v>12.453300000000002</v>
      </c>
      <c r="AM71" s="148">
        <v>1.0099999999999991</v>
      </c>
      <c r="AN71" s="148">
        <v>11.11000000000001</v>
      </c>
      <c r="AO71" s="148">
        <v>5.0500000000000105</v>
      </c>
      <c r="AP71" s="148">
        <v>0</v>
      </c>
      <c r="AQ71" s="148">
        <v>1.0099999999999991</v>
      </c>
      <c r="AR71" s="148">
        <v>0</v>
      </c>
      <c r="AW71" s="42">
        <v>293</v>
      </c>
      <c r="AX71" s="42">
        <v>0</v>
      </c>
      <c r="AY71" s="250"/>
    </row>
    <row r="72" spans="1:51" x14ac:dyDescent="0.2">
      <c r="A72" s="13" t="s">
        <v>70</v>
      </c>
      <c r="B72" s="11">
        <v>2459</v>
      </c>
      <c r="C72" s="147">
        <v>382</v>
      </c>
      <c r="D72" s="147">
        <v>382</v>
      </c>
      <c r="E72" s="253"/>
      <c r="F72" s="253"/>
      <c r="G72" s="253"/>
      <c r="H72" s="253"/>
      <c r="I72" s="732">
        <v>28.840999999999998</v>
      </c>
      <c r="J72" s="733"/>
      <c r="K72" s="732">
        <v>1.002624671916011</v>
      </c>
      <c r="L72" s="253"/>
      <c r="M72" s="732">
        <v>7.0183727034120773</v>
      </c>
      <c r="N72" s="253"/>
      <c r="O72" s="732">
        <v>7.0183727034120773</v>
      </c>
      <c r="P72" s="253"/>
      <c r="Q72" s="732">
        <v>1.002624671916011</v>
      </c>
      <c r="R72" s="253"/>
      <c r="S72" s="732">
        <v>0</v>
      </c>
      <c r="T72" s="253"/>
      <c r="U72" s="732">
        <v>0</v>
      </c>
      <c r="V72" s="253"/>
      <c r="W72" s="732">
        <v>0</v>
      </c>
      <c r="X72" s="253"/>
      <c r="Y72" s="253"/>
      <c r="Z72" s="732">
        <v>11.681957186544349</v>
      </c>
      <c r="AA72" s="253"/>
      <c r="AB72" s="732">
        <v>19.000000000000014</v>
      </c>
      <c r="AC72" s="253"/>
      <c r="AD72" s="147">
        <v>0</v>
      </c>
      <c r="AE72" s="147">
        <v>15004.08</v>
      </c>
      <c r="AF72" s="147">
        <v>0</v>
      </c>
      <c r="AG72" s="147">
        <v>1155076.0549563183</v>
      </c>
      <c r="AH72" s="117">
        <v>1</v>
      </c>
      <c r="AK72" s="148">
        <v>0</v>
      </c>
      <c r="AL72" s="148">
        <v>28.840999999999998</v>
      </c>
      <c r="AM72" s="148">
        <v>1.002624671916011</v>
      </c>
      <c r="AN72" s="148">
        <v>7.0183727034120773</v>
      </c>
      <c r="AO72" s="148">
        <v>7.0183727034120773</v>
      </c>
      <c r="AP72" s="148">
        <v>1.002624671916011</v>
      </c>
      <c r="AQ72" s="148">
        <v>0</v>
      </c>
      <c r="AR72" s="148">
        <v>0</v>
      </c>
      <c r="AW72" s="42">
        <v>385</v>
      </c>
      <c r="AX72" s="42">
        <v>0</v>
      </c>
      <c r="AY72" s="250"/>
    </row>
    <row r="73" spans="1:51" x14ac:dyDescent="0.2">
      <c r="B73" s="11"/>
      <c r="C73" s="147"/>
      <c r="D73" s="147"/>
      <c r="E73" s="147"/>
      <c r="F73" s="147"/>
      <c r="G73" s="147"/>
      <c r="H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17"/>
      <c r="AK73" s="148"/>
      <c r="AL73" s="148"/>
      <c r="AM73" s="148"/>
      <c r="AN73" s="148"/>
      <c r="AO73" s="148"/>
      <c r="AP73" s="148"/>
      <c r="AQ73" s="148"/>
      <c r="AR73" s="148"/>
      <c r="AW73" s="42"/>
      <c r="AX73" s="42"/>
      <c r="AY73" s="250"/>
    </row>
    <row r="74" spans="1:51" x14ac:dyDescent="0.2">
      <c r="A74" s="13" t="s">
        <v>82</v>
      </c>
      <c r="B74" s="20" t="s">
        <v>145</v>
      </c>
      <c r="C74" s="147">
        <v>20607</v>
      </c>
      <c r="D74" s="147">
        <v>20607</v>
      </c>
      <c r="E74" s="147">
        <v>0</v>
      </c>
      <c r="F74" s="147">
        <v>0</v>
      </c>
      <c r="G74" s="147">
        <v>0</v>
      </c>
      <c r="H74" s="147">
        <v>0</v>
      </c>
      <c r="I74" s="732">
        <v>6246.7924778761062</v>
      </c>
      <c r="J74" s="732">
        <v>0</v>
      </c>
      <c r="K74" s="147">
        <v>1354.8216287074592</v>
      </c>
      <c r="L74" s="147">
        <v>0</v>
      </c>
      <c r="M74" s="147">
        <v>1948.6110422460069</v>
      </c>
      <c r="N74" s="147">
        <v>0</v>
      </c>
      <c r="O74" s="147">
        <v>3496.1491516640062</v>
      </c>
      <c r="P74" s="147">
        <v>0</v>
      </c>
      <c r="Q74" s="147">
        <v>2607.0185846718941</v>
      </c>
      <c r="R74" s="147">
        <v>0</v>
      </c>
      <c r="S74" s="147">
        <v>1781.7848157158251</v>
      </c>
      <c r="T74" s="147">
        <v>0</v>
      </c>
      <c r="U74" s="147">
        <v>1157.2034356213271</v>
      </c>
      <c r="V74" s="147">
        <v>0</v>
      </c>
      <c r="W74" s="147">
        <v>53.904484330732551</v>
      </c>
      <c r="X74" s="147">
        <v>0</v>
      </c>
      <c r="Y74" s="147">
        <v>0</v>
      </c>
      <c r="Z74" s="147">
        <v>2782.7144689568777</v>
      </c>
      <c r="AA74" s="147">
        <v>0</v>
      </c>
      <c r="AB74" s="147">
        <v>1506.7363058120816</v>
      </c>
      <c r="AC74" s="147">
        <v>0</v>
      </c>
      <c r="AD74" s="147">
        <v>0</v>
      </c>
      <c r="AE74" s="147">
        <v>1047153.4438857142</v>
      </c>
      <c r="AF74" s="147">
        <v>276005.12384509254</v>
      </c>
      <c r="AG74" s="147">
        <v>79584165.546841323</v>
      </c>
      <c r="AH74" s="117">
        <v>71</v>
      </c>
      <c r="AK74" s="148">
        <v>0</v>
      </c>
      <c r="AL74" s="148">
        <v>6246.7924778761062</v>
      </c>
      <c r="AM74" s="148">
        <v>1354.8216287074592</v>
      </c>
      <c r="AN74" s="148">
        <v>1948.6110422460069</v>
      </c>
      <c r="AO74" s="148">
        <v>3496.1491516640062</v>
      </c>
      <c r="AP74" s="148">
        <v>2607.0185846718941</v>
      </c>
      <c r="AQ74" s="148">
        <v>1781.7848157158251</v>
      </c>
      <c r="AR74" s="148">
        <v>1157.2034356213271</v>
      </c>
      <c r="AS74" s="119"/>
      <c r="AT74" s="248"/>
      <c r="AU74" s="248"/>
      <c r="AV74" s="248"/>
      <c r="AW74" s="62">
        <v>19889</v>
      </c>
      <c r="AX74" s="62">
        <v>0</v>
      </c>
      <c r="AY74" s="251"/>
    </row>
    <row r="75" spans="1:51" x14ac:dyDescent="0.2">
      <c r="B75" s="11"/>
      <c r="C75" s="147"/>
      <c r="D75" s="147"/>
      <c r="E75" s="147"/>
      <c r="F75" s="147"/>
      <c r="G75" s="130"/>
      <c r="H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17"/>
      <c r="AK75" s="148"/>
      <c r="AL75" s="148"/>
      <c r="AM75" s="148"/>
      <c r="AN75" s="148"/>
      <c r="AO75" s="148"/>
      <c r="AP75" s="148"/>
      <c r="AQ75" s="148"/>
      <c r="AR75" s="148"/>
      <c r="AW75" s="42"/>
      <c r="AX75" s="42"/>
      <c r="AY75" s="250"/>
    </row>
    <row r="76" spans="1:51" x14ac:dyDescent="0.2">
      <c r="A76" s="127" t="s">
        <v>71</v>
      </c>
      <c r="B76" s="243">
        <v>5402</v>
      </c>
      <c r="C76" s="147">
        <v>1352</v>
      </c>
      <c r="D76" s="253"/>
      <c r="E76" s="147">
        <v>804</v>
      </c>
      <c r="F76" s="147">
        <v>548</v>
      </c>
      <c r="G76" s="130">
        <v>1352</v>
      </c>
      <c r="H76" s="253"/>
      <c r="I76" s="733"/>
      <c r="J76" s="732">
        <v>190.36160000000001</v>
      </c>
      <c r="K76" s="253"/>
      <c r="L76" s="732">
        <v>14.041543026706281</v>
      </c>
      <c r="M76" s="253"/>
      <c r="N76" s="732">
        <v>155.45994065281928</v>
      </c>
      <c r="O76" s="253"/>
      <c r="P76" s="732">
        <v>13.038575667655788</v>
      </c>
      <c r="Q76" s="253"/>
      <c r="R76" s="732">
        <v>13.038575667655788</v>
      </c>
      <c r="S76" s="253"/>
      <c r="T76" s="732">
        <v>9.0267062314540016</v>
      </c>
      <c r="U76" s="253"/>
      <c r="V76" s="732">
        <v>2.0059347181008875</v>
      </c>
      <c r="W76" s="732">
        <v>9.0133333333333336</v>
      </c>
      <c r="X76" s="253"/>
      <c r="Y76" s="732">
        <v>73.465381244522291</v>
      </c>
      <c r="Z76" s="253"/>
      <c r="AA76" s="732">
        <v>17.01258327165068</v>
      </c>
      <c r="AB76" s="253"/>
      <c r="AC76" s="732">
        <v>30.99999999999995</v>
      </c>
      <c r="AD76" s="147">
        <v>0</v>
      </c>
      <c r="AE76" s="147">
        <v>34847.279999999999</v>
      </c>
      <c r="AF76" s="147">
        <v>0</v>
      </c>
      <c r="AG76" s="147">
        <v>5688715.4005069975</v>
      </c>
      <c r="AH76" s="117">
        <v>1</v>
      </c>
      <c r="AK76" s="148">
        <v>1352</v>
      </c>
      <c r="AL76" s="148">
        <v>190.36160000000001</v>
      </c>
      <c r="AM76" s="148">
        <v>14.041543026706281</v>
      </c>
      <c r="AN76" s="148">
        <v>155.45994065281928</v>
      </c>
      <c r="AO76" s="148">
        <v>13.038575667655788</v>
      </c>
      <c r="AP76" s="148">
        <v>13.038575667655788</v>
      </c>
      <c r="AQ76" s="148">
        <v>9.0267062314540016</v>
      </c>
      <c r="AR76" s="148">
        <v>2.0059347181008875</v>
      </c>
      <c r="AW76" s="42">
        <v>0</v>
      </c>
      <c r="AX76" s="42">
        <v>1347</v>
      </c>
      <c r="AY76" s="250"/>
    </row>
    <row r="77" spans="1:51" x14ac:dyDescent="0.2">
      <c r="A77" s="13" t="s">
        <v>72</v>
      </c>
      <c r="B77" s="12">
        <v>4608</v>
      </c>
      <c r="C77" s="147">
        <v>607</v>
      </c>
      <c r="D77" s="253"/>
      <c r="E77" s="147">
        <v>357</v>
      </c>
      <c r="F77" s="147">
        <v>250</v>
      </c>
      <c r="G77" s="130">
        <v>607</v>
      </c>
      <c r="H77" s="253"/>
      <c r="I77" s="733"/>
      <c r="J77" s="732">
        <v>330.08660000000003</v>
      </c>
      <c r="K77" s="253"/>
      <c r="L77" s="732">
        <v>71.999999999999815</v>
      </c>
      <c r="M77" s="253"/>
      <c r="N77" s="732">
        <v>77.000000000000071</v>
      </c>
      <c r="O77" s="253"/>
      <c r="P77" s="732">
        <v>69.000000000000028</v>
      </c>
      <c r="Q77" s="253"/>
      <c r="R77" s="732">
        <v>57.000000000000021</v>
      </c>
      <c r="S77" s="253"/>
      <c r="T77" s="732">
        <v>222.00000000000026</v>
      </c>
      <c r="U77" s="253"/>
      <c r="V77" s="732">
        <v>7.9999999999999867</v>
      </c>
      <c r="W77" s="732">
        <v>2.956168831168831</v>
      </c>
      <c r="X77" s="253"/>
      <c r="Y77" s="732">
        <v>115.83119266055077</v>
      </c>
      <c r="Z77" s="253"/>
      <c r="AA77" s="732">
        <v>14.999999999999982</v>
      </c>
      <c r="AB77" s="253"/>
      <c r="AC77" s="732">
        <v>39</v>
      </c>
      <c r="AD77" s="147">
        <v>0</v>
      </c>
      <c r="AE77" s="147">
        <v>24825.839999999997</v>
      </c>
      <c r="AF77" s="147">
        <v>20041.288963504259</v>
      </c>
      <c r="AG77" s="147">
        <v>3577445.3502063244</v>
      </c>
      <c r="AH77" s="117">
        <v>1</v>
      </c>
      <c r="AK77" s="148">
        <v>607</v>
      </c>
      <c r="AL77" s="148">
        <v>330.08660000000003</v>
      </c>
      <c r="AM77" s="148">
        <v>71.999999999999815</v>
      </c>
      <c r="AN77" s="148">
        <v>77.000000000000071</v>
      </c>
      <c r="AO77" s="148">
        <v>69.000000000000028</v>
      </c>
      <c r="AP77" s="148">
        <v>57.000000000000021</v>
      </c>
      <c r="AQ77" s="148">
        <v>222.00000000000026</v>
      </c>
      <c r="AR77" s="148">
        <v>7.9999999999999867</v>
      </c>
      <c r="AW77" s="42">
        <v>0</v>
      </c>
      <c r="AX77" s="42">
        <v>618</v>
      </c>
      <c r="AY77" s="250"/>
    </row>
    <row r="78" spans="1:51" x14ac:dyDescent="0.2">
      <c r="A78" s="13" t="s">
        <v>73</v>
      </c>
      <c r="B78" s="12">
        <v>4178</v>
      </c>
      <c r="C78" s="147">
        <v>1273</v>
      </c>
      <c r="D78" s="253"/>
      <c r="E78" s="147">
        <v>771</v>
      </c>
      <c r="F78" s="147">
        <v>502</v>
      </c>
      <c r="G78" s="130">
        <v>1273</v>
      </c>
      <c r="H78" s="253"/>
      <c r="I78" s="733"/>
      <c r="J78" s="732">
        <v>462.48089999999996</v>
      </c>
      <c r="K78" s="253"/>
      <c r="L78" s="732">
        <v>55.129921259842483</v>
      </c>
      <c r="M78" s="253"/>
      <c r="N78" s="732">
        <v>46.108661417322864</v>
      </c>
      <c r="O78" s="253"/>
      <c r="P78" s="732">
        <v>418.98740157480376</v>
      </c>
      <c r="Q78" s="253"/>
      <c r="R78" s="732">
        <v>171.40393700787456</v>
      </c>
      <c r="S78" s="253"/>
      <c r="T78" s="732">
        <v>63.14881889763776</v>
      </c>
      <c r="U78" s="253"/>
      <c r="V78" s="732">
        <v>51.120472440944845</v>
      </c>
      <c r="W78" s="732">
        <v>2.0648824006488242</v>
      </c>
      <c r="X78" s="253"/>
      <c r="Y78" s="732">
        <v>182.18246869409643</v>
      </c>
      <c r="Z78" s="253"/>
      <c r="AA78" s="732">
        <v>48.922337870296182</v>
      </c>
      <c r="AB78" s="253"/>
      <c r="AC78" s="732">
        <v>69.000000000000014</v>
      </c>
      <c r="AD78" s="147">
        <v>0</v>
      </c>
      <c r="AE78" s="147">
        <v>23459.279999999999</v>
      </c>
      <c r="AF78" s="147">
        <v>0</v>
      </c>
      <c r="AG78" s="147">
        <v>6432699.5419159969</v>
      </c>
      <c r="AH78" s="117">
        <v>1</v>
      </c>
      <c r="AK78" s="148">
        <v>1273</v>
      </c>
      <c r="AL78" s="148">
        <v>462.48089999999996</v>
      </c>
      <c r="AM78" s="148">
        <v>55.129921259842483</v>
      </c>
      <c r="AN78" s="148">
        <v>46.108661417322864</v>
      </c>
      <c r="AO78" s="148">
        <v>418.98740157480376</v>
      </c>
      <c r="AP78" s="148">
        <v>171.40393700787456</v>
      </c>
      <c r="AQ78" s="148">
        <v>63.14881889763776</v>
      </c>
      <c r="AR78" s="148">
        <v>51.120472440944845</v>
      </c>
      <c r="AW78" s="42">
        <v>0</v>
      </c>
      <c r="AX78" s="42">
        <v>1227</v>
      </c>
      <c r="AY78" s="250"/>
    </row>
    <row r="79" spans="1:51" x14ac:dyDescent="0.2">
      <c r="A79" s="127" t="s">
        <v>328</v>
      </c>
      <c r="B79" s="243">
        <v>4181</v>
      </c>
      <c r="C79" s="147">
        <v>1087</v>
      </c>
      <c r="D79" s="253"/>
      <c r="E79" s="147">
        <v>651</v>
      </c>
      <c r="F79" s="147">
        <v>436</v>
      </c>
      <c r="G79" s="130">
        <v>1087</v>
      </c>
      <c r="H79" s="253"/>
      <c r="I79" s="733"/>
      <c r="J79" s="732">
        <v>260.6875</v>
      </c>
      <c r="K79" s="253"/>
      <c r="L79" s="732">
        <v>118.01199261992635</v>
      </c>
      <c r="M79" s="253"/>
      <c r="N79" s="732">
        <v>54.543357933579337</v>
      </c>
      <c r="O79" s="253"/>
      <c r="P79" s="732">
        <v>182.47232472324706</v>
      </c>
      <c r="Q79" s="253"/>
      <c r="R79" s="732">
        <v>47.601476014760102</v>
      </c>
      <c r="S79" s="253"/>
      <c r="T79" s="732">
        <v>62.476937269372684</v>
      </c>
      <c r="U79" s="253"/>
      <c r="V79" s="732">
        <v>3.9667896678966752</v>
      </c>
      <c r="W79" s="732">
        <v>4.0111940298507465</v>
      </c>
      <c r="X79" s="253"/>
      <c r="Y79" s="732">
        <v>141.14017769002987</v>
      </c>
      <c r="Z79" s="253"/>
      <c r="AA79" s="732">
        <v>12.85648574057034</v>
      </c>
      <c r="AB79" s="253"/>
      <c r="AC79" s="732">
        <v>51.425942962281468</v>
      </c>
      <c r="AD79" s="147">
        <v>0</v>
      </c>
      <c r="AE79" s="147">
        <v>18403.008000000002</v>
      </c>
      <c r="AF79" s="147">
        <v>0</v>
      </c>
      <c r="AG79" s="147">
        <v>5106865.7889855374</v>
      </c>
      <c r="AH79" s="117">
        <v>1</v>
      </c>
      <c r="AK79" s="148">
        <v>1087</v>
      </c>
      <c r="AL79" s="148">
        <v>260.6875</v>
      </c>
      <c r="AM79" s="148">
        <v>118.01199261992635</v>
      </c>
      <c r="AN79" s="148">
        <v>54.543357933579337</v>
      </c>
      <c r="AO79" s="148">
        <v>182.47232472324706</v>
      </c>
      <c r="AP79" s="148">
        <v>47.601476014760102</v>
      </c>
      <c r="AQ79" s="148">
        <v>62.476937269372684</v>
      </c>
      <c r="AR79" s="148">
        <v>3.9667896678966752</v>
      </c>
      <c r="AW79" s="42">
        <v>0</v>
      </c>
      <c r="AX79" s="42">
        <v>1072</v>
      </c>
      <c r="AY79" s="250"/>
    </row>
    <row r="80" spans="1:51" x14ac:dyDescent="0.2">
      <c r="A80" s="13" t="s">
        <v>74</v>
      </c>
      <c r="B80" s="12">
        <v>4182</v>
      </c>
      <c r="C80" s="147">
        <v>1327</v>
      </c>
      <c r="D80" s="253"/>
      <c r="E80" s="147">
        <v>812</v>
      </c>
      <c r="F80" s="147">
        <v>515</v>
      </c>
      <c r="G80" s="130">
        <v>1327</v>
      </c>
      <c r="H80" s="253"/>
      <c r="I80" s="733"/>
      <c r="J80" s="732">
        <v>160.69970000000001</v>
      </c>
      <c r="K80" s="253"/>
      <c r="L80" s="732">
        <v>125.09426847662141</v>
      </c>
      <c r="M80" s="253"/>
      <c r="N80" s="732">
        <v>50.037707390648549</v>
      </c>
      <c r="O80" s="253"/>
      <c r="P80" s="732">
        <v>32.02413273001514</v>
      </c>
      <c r="Q80" s="253"/>
      <c r="R80" s="732">
        <v>11.00829562594269</v>
      </c>
      <c r="S80" s="253"/>
      <c r="T80" s="732">
        <v>2.0015082956259365</v>
      </c>
      <c r="U80" s="253"/>
      <c r="V80" s="732">
        <v>0</v>
      </c>
      <c r="W80" s="732">
        <v>9.1517241379310352</v>
      </c>
      <c r="X80" s="253"/>
      <c r="Y80" s="732">
        <v>91.596203623813579</v>
      </c>
      <c r="Z80" s="253"/>
      <c r="AA80" s="732">
        <v>31.117246596066618</v>
      </c>
      <c r="AB80" s="253"/>
      <c r="AC80" s="732">
        <v>34.00000000000005</v>
      </c>
      <c r="AD80" s="147">
        <v>0</v>
      </c>
      <c r="AE80" s="147">
        <v>96216.639999999999</v>
      </c>
      <c r="AF80" s="147">
        <v>0</v>
      </c>
      <c r="AG80" s="147">
        <v>5771475.2918193936</v>
      </c>
      <c r="AH80" s="117">
        <v>1</v>
      </c>
      <c r="AK80" s="148">
        <v>1327</v>
      </c>
      <c r="AL80" s="148">
        <v>160.69970000000001</v>
      </c>
      <c r="AM80" s="148">
        <v>125.09426847662141</v>
      </c>
      <c r="AN80" s="148">
        <v>50.037707390648549</v>
      </c>
      <c r="AO80" s="148">
        <v>32.02413273001514</v>
      </c>
      <c r="AP80" s="148">
        <v>11.00829562594269</v>
      </c>
      <c r="AQ80" s="148">
        <v>2.0015082956259365</v>
      </c>
      <c r="AR80" s="148">
        <v>0</v>
      </c>
      <c r="AW80" s="42">
        <v>0</v>
      </c>
      <c r="AX80" s="42">
        <v>1301</v>
      </c>
      <c r="AY80" s="250"/>
    </row>
    <row r="81" spans="1:51" x14ac:dyDescent="0.2">
      <c r="A81" s="13" t="s">
        <v>75</v>
      </c>
      <c r="B81" s="12">
        <v>4609</v>
      </c>
      <c r="C81" s="147">
        <v>827</v>
      </c>
      <c r="D81" s="253"/>
      <c r="E81" s="147">
        <v>480</v>
      </c>
      <c r="F81" s="147">
        <v>347</v>
      </c>
      <c r="G81" s="130">
        <v>827</v>
      </c>
      <c r="H81" s="253"/>
      <c r="I81" s="733"/>
      <c r="J81" s="732">
        <v>451.29389999999995</v>
      </c>
      <c r="K81" s="253"/>
      <c r="L81" s="732">
        <v>40.243309002433087</v>
      </c>
      <c r="M81" s="253"/>
      <c r="N81" s="732">
        <v>47.285888077858914</v>
      </c>
      <c r="O81" s="253"/>
      <c r="P81" s="732">
        <v>90.547445255474855</v>
      </c>
      <c r="Q81" s="253"/>
      <c r="R81" s="732">
        <v>210.27128953771282</v>
      </c>
      <c r="S81" s="253"/>
      <c r="T81" s="732">
        <v>147.89416058394147</v>
      </c>
      <c r="U81" s="253"/>
      <c r="V81" s="732">
        <v>200.21046228710497</v>
      </c>
      <c r="W81" s="732">
        <v>6.6084474885844742</v>
      </c>
      <c r="X81" s="253"/>
      <c r="Y81" s="732">
        <v>224.4233378561737</v>
      </c>
      <c r="Z81" s="253"/>
      <c r="AA81" s="732">
        <v>39.047215496368004</v>
      </c>
      <c r="AB81" s="253"/>
      <c r="AC81" s="732">
        <v>68.999999999999986</v>
      </c>
      <c r="AD81" s="147">
        <v>0</v>
      </c>
      <c r="AE81" s="147">
        <v>52840.319999999978</v>
      </c>
      <c r="AF81" s="147">
        <v>307207.079384004</v>
      </c>
      <c r="AG81" s="147">
        <v>4865560.6829122668</v>
      </c>
      <c r="AH81" s="117">
        <v>1</v>
      </c>
      <c r="AK81" s="148">
        <v>827</v>
      </c>
      <c r="AL81" s="148">
        <v>451.29389999999995</v>
      </c>
      <c r="AM81" s="148">
        <v>40.243309002433087</v>
      </c>
      <c r="AN81" s="148">
        <v>47.285888077858914</v>
      </c>
      <c r="AO81" s="148">
        <v>90.547445255474855</v>
      </c>
      <c r="AP81" s="148">
        <v>210.27128953771282</v>
      </c>
      <c r="AQ81" s="148">
        <v>147.89416058394147</v>
      </c>
      <c r="AR81" s="148">
        <v>200.21046228710497</v>
      </c>
      <c r="AW81" s="42">
        <v>0</v>
      </c>
      <c r="AX81" s="42">
        <v>888</v>
      </c>
      <c r="AY81" s="250"/>
    </row>
    <row r="82" spans="1:51" x14ac:dyDescent="0.2">
      <c r="A82" s="13" t="s">
        <v>76</v>
      </c>
      <c r="B82" s="11">
        <v>5406</v>
      </c>
      <c r="C82" s="147">
        <v>909</v>
      </c>
      <c r="D82" s="253"/>
      <c r="E82" s="147">
        <v>518</v>
      </c>
      <c r="F82" s="147">
        <v>391</v>
      </c>
      <c r="G82" s="130">
        <v>909</v>
      </c>
      <c r="H82" s="253"/>
      <c r="I82" s="733"/>
      <c r="J82" s="732">
        <v>277.88130000000001</v>
      </c>
      <c r="K82" s="253"/>
      <c r="L82" s="732">
        <v>99.21830209481827</v>
      </c>
      <c r="M82" s="253"/>
      <c r="N82" s="732">
        <v>166.36604189636174</v>
      </c>
      <c r="O82" s="253"/>
      <c r="P82" s="732">
        <v>231.50937155457564</v>
      </c>
      <c r="Q82" s="253"/>
      <c r="R82" s="732">
        <v>35.077177508269045</v>
      </c>
      <c r="S82" s="253"/>
      <c r="T82" s="732">
        <v>45.099228224917304</v>
      </c>
      <c r="U82" s="253"/>
      <c r="V82" s="732">
        <v>18.039691289966957</v>
      </c>
      <c r="W82" s="732">
        <v>4.8923573735199142</v>
      </c>
      <c r="X82" s="253"/>
      <c r="Y82" s="732">
        <v>125.68888888888925</v>
      </c>
      <c r="Z82" s="253"/>
      <c r="AA82" s="732">
        <v>19.211345939933246</v>
      </c>
      <c r="AB82" s="253"/>
      <c r="AC82" s="732">
        <v>61</v>
      </c>
      <c r="AD82" s="147">
        <v>0</v>
      </c>
      <c r="AE82" s="147">
        <v>23231.51999999999</v>
      </c>
      <c r="AF82" s="147">
        <v>0</v>
      </c>
      <c r="AG82" s="147">
        <v>4367953.9179338953</v>
      </c>
      <c r="AH82" s="117">
        <v>1</v>
      </c>
      <c r="AK82" s="148">
        <v>909</v>
      </c>
      <c r="AL82" s="148">
        <v>277.88130000000001</v>
      </c>
      <c r="AM82" s="148">
        <v>99.21830209481827</v>
      </c>
      <c r="AN82" s="148">
        <v>166.36604189636174</v>
      </c>
      <c r="AO82" s="148">
        <v>231.50937155457564</v>
      </c>
      <c r="AP82" s="148">
        <v>35.077177508269045</v>
      </c>
      <c r="AQ82" s="148">
        <v>45.099228224917304</v>
      </c>
      <c r="AR82" s="148">
        <v>18.039691289966957</v>
      </c>
      <c r="AW82" s="42">
        <v>0</v>
      </c>
      <c r="AX82" s="42">
        <v>938</v>
      </c>
      <c r="AY82" s="250"/>
    </row>
    <row r="83" spans="1:51" x14ac:dyDescent="0.2">
      <c r="A83" s="13" t="s">
        <v>77</v>
      </c>
      <c r="B83" s="11">
        <v>5407</v>
      </c>
      <c r="C83" s="147">
        <v>985</v>
      </c>
      <c r="D83" s="253"/>
      <c r="E83" s="147">
        <v>596</v>
      </c>
      <c r="F83" s="147">
        <v>389</v>
      </c>
      <c r="G83" s="130">
        <v>985</v>
      </c>
      <c r="H83" s="253"/>
      <c r="I83" s="733"/>
      <c r="J83" s="732">
        <v>375.28500000000003</v>
      </c>
      <c r="K83" s="253"/>
      <c r="L83" s="732">
        <v>51.103763987792462</v>
      </c>
      <c r="M83" s="253"/>
      <c r="N83" s="732">
        <v>58.118006103763996</v>
      </c>
      <c r="O83" s="253"/>
      <c r="P83" s="732">
        <v>161.32756866734454</v>
      </c>
      <c r="Q83" s="253"/>
      <c r="R83" s="732">
        <v>213.43336724313352</v>
      </c>
      <c r="S83" s="253"/>
      <c r="T83" s="732">
        <v>110.22380467955207</v>
      </c>
      <c r="U83" s="253"/>
      <c r="V83" s="732">
        <v>47.095625635808787</v>
      </c>
      <c r="W83" s="732">
        <v>2.9550000000000001</v>
      </c>
      <c r="X83" s="253"/>
      <c r="Y83" s="732">
        <v>172.73029966703703</v>
      </c>
      <c r="Z83" s="253"/>
      <c r="AA83" s="732">
        <v>22.000000000000039</v>
      </c>
      <c r="AB83" s="253"/>
      <c r="AC83" s="732">
        <v>91.000000000000043</v>
      </c>
      <c r="AD83" s="147">
        <v>0</v>
      </c>
      <c r="AE83" s="147">
        <v>25281.360000000001</v>
      </c>
      <c r="AF83" s="147">
        <v>369497.7244444337</v>
      </c>
      <c r="AG83" s="147">
        <v>5046985.0320191076</v>
      </c>
      <c r="AH83" s="117">
        <v>1</v>
      </c>
      <c r="AK83" s="148">
        <v>985</v>
      </c>
      <c r="AL83" s="148">
        <v>375.28500000000003</v>
      </c>
      <c r="AM83" s="148">
        <v>51.103763987792462</v>
      </c>
      <c r="AN83" s="148">
        <v>58.118006103763996</v>
      </c>
      <c r="AO83" s="148">
        <v>161.32756866734454</v>
      </c>
      <c r="AP83" s="148">
        <v>213.43336724313352</v>
      </c>
      <c r="AQ83" s="148">
        <v>110.22380467955207</v>
      </c>
      <c r="AR83" s="148">
        <v>47.095625635808787</v>
      </c>
      <c r="AW83" s="42">
        <v>0</v>
      </c>
      <c r="AX83" s="42">
        <v>1001</v>
      </c>
      <c r="AY83" s="250"/>
    </row>
    <row r="84" spans="1:51" x14ac:dyDescent="0.2">
      <c r="A84" s="127" t="s">
        <v>625</v>
      </c>
      <c r="B84" s="244">
        <v>4607</v>
      </c>
      <c r="C84" s="147">
        <v>1190</v>
      </c>
      <c r="D84" s="253"/>
      <c r="E84" s="147">
        <v>718</v>
      </c>
      <c r="F84" s="147">
        <v>472</v>
      </c>
      <c r="G84" s="130">
        <v>1190</v>
      </c>
      <c r="H84" s="253"/>
      <c r="I84" s="733"/>
      <c r="J84" s="732">
        <v>339.81810000000002</v>
      </c>
      <c r="K84" s="253"/>
      <c r="L84" s="732">
        <v>69.116161616161591</v>
      </c>
      <c r="M84" s="253"/>
      <c r="N84" s="732">
        <v>124.40909090909084</v>
      </c>
      <c r="O84" s="253"/>
      <c r="P84" s="732">
        <v>207.3484848484851</v>
      </c>
      <c r="Q84" s="253"/>
      <c r="R84" s="732">
        <v>162.9166666666668</v>
      </c>
      <c r="S84" s="253"/>
      <c r="T84" s="732">
        <v>85.901515151515113</v>
      </c>
      <c r="U84" s="253"/>
      <c r="V84" s="732">
        <v>105.64898989898994</v>
      </c>
      <c r="W84" s="732">
        <v>8.7392384105960268</v>
      </c>
      <c r="X84" s="253"/>
      <c r="Y84" s="732">
        <v>161.47492625368756</v>
      </c>
      <c r="Z84" s="253"/>
      <c r="AA84" s="732">
        <v>33.514285714285748</v>
      </c>
      <c r="AB84" s="253"/>
      <c r="AC84" s="732">
        <v>46.328571428571394</v>
      </c>
      <c r="AD84" s="147">
        <v>19329.921551105632</v>
      </c>
      <c r="AE84" s="147">
        <v>26875.679999999993</v>
      </c>
      <c r="AF84" s="147">
        <v>0</v>
      </c>
      <c r="AG84" s="147">
        <v>5740615.9163619252</v>
      </c>
      <c r="AH84" s="117">
        <v>1</v>
      </c>
      <c r="AK84" s="148">
        <v>1190</v>
      </c>
      <c r="AL84" s="148">
        <v>339.81810000000002</v>
      </c>
      <c r="AM84" s="148">
        <v>69.116161616161591</v>
      </c>
      <c r="AN84" s="148">
        <v>124.40909090909084</v>
      </c>
      <c r="AO84" s="148">
        <v>207.3484848484851</v>
      </c>
      <c r="AP84" s="148">
        <v>162.9166666666668</v>
      </c>
      <c r="AQ84" s="148">
        <v>85.901515151515113</v>
      </c>
      <c r="AR84" s="148">
        <v>105.64898989898994</v>
      </c>
      <c r="AW84" s="42">
        <v>0</v>
      </c>
      <c r="AX84" s="42">
        <v>1218</v>
      </c>
      <c r="AY84" s="250"/>
    </row>
    <row r="85" spans="1:51" x14ac:dyDescent="0.2">
      <c r="A85" s="13" t="s">
        <v>78</v>
      </c>
      <c r="B85" s="12">
        <v>4158</v>
      </c>
      <c r="C85" s="147">
        <v>840</v>
      </c>
      <c r="D85" s="253"/>
      <c r="E85" s="147">
        <v>475</v>
      </c>
      <c r="F85" s="147">
        <v>365</v>
      </c>
      <c r="G85" s="130">
        <v>840</v>
      </c>
      <c r="H85" s="253"/>
      <c r="I85" s="733"/>
      <c r="J85" s="732">
        <v>370.69200000000001</v>
      </c>
      <c r="K85" s="253"/>
      <c r="L85" s="732">
        <v>71.254480286738357</v>
      </c>
      <c r="M85" s="253"/>
      <c r="N85" s="732">
        <v>13.04659498207884</v>
      </c>
      <c r="O85" s="253"/>
      <c r="P85" s="732">
        <v>232.83154121863774</v>
      </c>
      <c r="Q85" s="253"/>
      <c r="R85" s="732">
        <v>178.63799283154106</v>
      </c>
      <c r="S85" s="253"/>
      <c r="T85" s="732">
        <v>34.121863799283119</v>
      </c>
      <c r="U85" s="253"/>
      <c r="V85" s="732">
        <v>109.39068100358412</v>
      </c>
      <c r="W85" s="732">
        <v>6.5698324022346375</v>
      </c>
      <c r="X85" s="253"/>
      <c r="Y85" s="732">
        <v>205.24886877828061</v>
      </c>
      <c r="Z85" s="253"/>
      <c r="AA85" s="732">
        <v>66.000000000000028</v>
      </c>
      <c r="AB85" s="253"/>
      <c r="AC85" s="732">
        <v>66.000000000000028</v>
      </c>
      <c r="AD85" s="147">
        <v>0</v>
      </c>
      <c r="AE85" s="147">
        <v>17309.759999999995</v>
      </c>
      <c r="AF85" s="147">
        <v>0</v>
      </c>
      <c r="AG85" s="147">
        <v>4574206.1418893114</v>
      </c>
      <c r="AH85" s="117">
        <v>1</v>
      </c>
      <c r="AK85" s="148">
        <v>840</v>
      </c>
      <c r="AL85" s="148">
        <v>370.69200000000001</v>
      </c>
      <c r="AM85" s="148">
        <v>71.254480286738357</v>
      </c>
      <c r="AN85" s="148">
        <v>13.04659498207884</v>
      </c>
      <c r="AO85" s="148">
        <v>232.83154121863774</v>
      </c>
      <c r="AP85" s="148">
        <v>178.63799283154106</v>
      </c>
      <c r="AQ85" s="148">
        <v>34.121863799283119</v>
      </c>
      <c r="AR85" s="148">
        <v>109.39068100358412</v>
      </c>
      <c r="AW85" s="42">
        <v>0</v>
      </c>
      <c r="AX85" s="42">
        <v>886</v>
      </c>
      <c r="AY85" s="250"/>
    </row>
    <row r="86" spans="1:51" x14ac:dyDescent="0.2">
      <c r="A86" s="13" t="s">
        <v>79</v>
      </c>
      <c r="B86" s="12">
        <v>4177</v>
      </c>
      <c r="C86" s="147">
        <v>604</v>
      </c>
      <c r="D86" s="253"/>
      <c r="E86" s="147">
        <v>318</v>
      </c>
      <c r="F86" s="147">
        <v>286</v>
      </c>
      <c r="G86" s="130">
        <v>604</v>
      </c>
      <c r="H86" s="253"/>
      <c r="I86" s="733"/>
      <c r="J86" s="732">
        <v>278.64179999999999</v>
      </c>
      <c r="K86" s="253"/>
      <c r="L86" s="732">
        <v>8.4758735440931954</v>
      </c>
      <c r="M86" s="253"/>
      <c r="N86" s="732">
        <v>110.18635607321131</v>
      </c>
      <c r="O86" s="253"/>
      <c r="P86" s="732">
        <v>161.98336106489188</v>
      </c>
      <c r="Q86" s="253"/>
      <c r="R86" s="732">
        <v>160.09983361064874</v>
      </c>
      <c r="S86" s="253"/>
      <c r="T86" s="732">
        <v>53.68053244592344</v>
      </c>
      <c r="U86" s="253"/>
      <c r="V86" s="732">
        <v>34.845257903494179</v>
      </c>
      <c r="W86" s="732">
        <v>4.3808049535603715</v>
      </c>
      <c r="X86" s="253"/>
      <c r="Y86" s="732">
        <v>205.81818181818201</v>
      </c>
      <c r="Z86" s="253"/>
      <c r="AA86" s="732">
        <v>78.71523178807935</v>
      </c>
      <c r="AB86" s="253"/>
      <c r="AC86" s="732">
        <v>71.218543046357382</v>
      </c>
      <c r="AD86" s="147">
        <v>0</v>
      </c>
      <c r="AE86" s="147">
        <v>18220.800000000003</v>
      </c>
      <c r="AF86" s="147">
        <v>0</v>
      </c>
      <c r="AG86" s="147">
        <v>3871927.3437981196</v>
      </c>
      <c r="AH86" s="117">
        <v>1</v>
      </c>
      <c r="AK86" s="148">
        <v>604</v>
      </c>
      <c r="AL86" s="148">
        <v>278.64179999999999</v>
      </c>
      <c r="AM86" s="148">
        <v>8.4758735440931954</v>
      </c>
      <c r="AN86" s="148">
        <v>110.18635607321131</v>
      </c>
      <c r="AO86" s="148">
        <v>161.98336106489188</v>
      </c>
      <c r="AP86" s="148">
        <v>160.09983361064874</v>
      </c>
      <c r="AQ86" s="148">
        <v>53.68053244592344</v>
      </c>
      <c r="AR86" s="148">
        <v>34.845257903494179</v>
      </c>
      <c r="AW86" s="42">
        <v>0</v>
      </c>
      <c r="AX86" s="42">
        <v>638</v>
      </c>
      <c r="AY86" s="250"/>
    </row>
    <row r="87" spans="1:51" x14ac:dyDescent="0.2">
      <c r="A87" s="127" t="s">
        <v>80</v>
      </c>
      <c r="B87" s="243">
        <v>5412</v>
      </c>
      <c r="C87" s="147">
        <v>1289</v>
      </c>
      <c r="D87" s="253"/>
      <c r="E87" s="147">
        <v>783</v>
      </c>
      <c r="F87" s="147">
        <v>506</v>
      </c>
      <c r="G87" s="130">
        <v>1289</v>
      </c>
      <c r="H87" s="253"/>
      <c r="I87" s="733"/>
      <c r="J87" s="732">
        <v>285.7713</v>
      </c>
      <c r="K87" s="253"/>
      <c r="L87" s="732">
        <v>204.00000000000054</v>
      </c>
      <c r="M87" s="253"/>
      <c r="N87" s="732">
        <v>221.00000000000057</v>
      </c>
      <c r="O87" s="253"/>
      <c r="P87" s="732">
        <v>106.99999999999999</v>
      </c>
      <c r="Q87" s="253"/>
      <c r="R87" s="732">
        <v>18.000000000000014</v>
      </c>
      <c r="S87" s="253"/>
      <c r="T87" s="732">
        <v>27.000000000000021</v>
      </c>
      <c r="U87" s="253"/>
      <c r="V87" s="732">
        <v>5.0000000000000027</v>
      </c>
      <c r="W87" s="732">
        <v>6.0754124116260808</v>
      </c>
      <c r="X87" s="253"/>
      <c r="Y87" s="732">
        <v>100.29074529074528</v>
      </c>
      <c r="Z87" s="253"/>
      <c r="AA87" s="732">
        <v>9.020995334370145</v>
      </c>
      <c r="AB87" s="253"/>
      <c r="AC87" s="732">
        <v>24.99999999999995</v>
      </c>
      <c r="AD87" s="147">
        <v>0</v>
      </c>
      <c r="AE87" s="147">
        <v>19405.152000000002</v>
      </c>
      <c r="AF87" s="147">
        <v>0</v>
      </c>
      <c r="AG87" s="147">
        <v>5675448.4083151706</v>
      </c>
      <c r="AH87" s="117">
        <v>1</v>
      </c>
      <c r="AK87" s="148">
        <v>1289</v>
      </c>
      <c r="AL87" s="148">
        <v>285.7713</v>
      </c>
      <c r="AM87" s="148">
        <v>204.00000000000054</v>
      </c>
      <c r="AN87" s="148">
        <v>221.00000000000057</v>
      </c>
      <c r="AO87" s="148">
        <v>106.99999999999999</v>
      </c>
      <c r="AP87" s="148">
        <v>18.000000000000014</v>
      </c>
      <c r="AQ87" s="148">
        <v>27.000000000000021</v>
      </c>
      <c r="AR87" s="148">
        <v>5.0000000000000027</v>
      </c>
      <c r="AW87" s="42">
        <v>0</v>
      </c>
      <c r="AX87" s="42">
        <v>1281</v>
      </c>
      <c r="AY87" s="250"/>
    </row>
    <row r="88" spans="1:51" x14ac:dyDescent="0.2">
      <c r="A88" s="127" t="s">
        <v>624</v>
      </c>
      <c r="B88" s="243">
        <v>5414</v>
      </c>
      <c r="C88" s="147">
        <v>1039</v>
      </c>
      <c r="D88" s="253"/>
      <c r="E88" s="147">
        <v>623</v>
      </c>
      <c r="F88" s="147">
        <v>416</v>
      </c>
      <c r="G88" s="130">
        <v>1039</v>
      </c>
      <c r="H88" s="253"/>
      <c r="I88" s="733"/>
      <c r="J88" s="732">
        <v>151.89330000000001</v>
      </c>
      <c r="K88" s="253"/>
      <c r="L88" s="732">
        <v>25.848983543078447</v>
      </c>
      <c r="M88" s="253"/>
      <c r="N88" s="732">
        <v>78.541142303968996</v>
      </c>
      <c r="O88" s="253"/>
      <c r="P88" s="732">
        <v>116.32042594385315</v>
      </c>
      <c r="Q88" s="253"/>
      <c r="R88" s="732">
        <v>26.843175217812213</v>
      </c>
      <c r="S88" s="253"/>
      <c r="T88" s="732">
        <v>21.872216844143274</v>
      </c>
      <c r="U88" s="253"/>
      <c r="V88" s="732">
        <v>9.9419167473378511</v>
      </c>
      <c r="W88" s="732">
        <v>0.99902723735408561</v>
      </c>
      <c r="X88" s="253"/>
      <c r="Y88" s="732">
        <v>52.432852386237464</v>
      </c>
      <c r="Z88" s="253"/>
      <c r="AA88" s="732">
        <v>11.895752895752914</v>
      </c>
      <c r="AB88" s="253"/>
      <c r="AC88" s="732">
        <v>37.561116458132851</v>
      </c>
      <c r="AD88" s="147">
        <v>0</v>
      </c>
      <c r="AE88" s="147">
        <v>22502.687999999995</v>
      </c>
      <c r="AF88" s="147">
        <v>0</v>
      </c>
      <c r="AG88" s="147">
        <v>4567189.011751228</v>
      </c>
      <c r="AH88" s="117">
        <v>1</v>
      </c>
      <c r="AK88" s="148">
        <v>1039</v>
      </c>
      <c r="AL88" s="148">
        <v>151.89330000000001</v>
      </c>
      <c r="AM88" s="148">
        <v>25.848983543078447</v>
      </c>
      <c r="AN88" s="148">
        <v>78.541142303968996</v>
      </c>
      <c r="AO88" s="148">
        <v>116.32042594385315</v>
      </c>
      <c r="AP88" s="148">
        <v>26.843175217812213</v>
      </c>
      <c r="AQ88" s="148">
        <v>21.872216844143274</v>
      </c>
      <c r="AR88" s="148">
        <v>9.9419167473378511</v>
      </c>
      <c r="AW88" s="42">
        <v>0</v>
      </c>
      <c r="AX88" s="42">
        <v>1026</v>
      </c>
      <c r="AY88" s="250"/>
    </row>
    <row r="89" spans="1:51" x14ac:dyDescent="0.2">
      <c r="C89" s="147"/>
      <c r="D89" s="147"/>
      <c r="E89" s="147"/>
      <c r="F89" s="147"/>
      <c r="G89" s="130"/>
      <c r="H89" s="130"/>
      <c r="I89" s="734"/>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42"/>
      <c r="AH89" s="117"/>
      <c r="AK89" s="148"/>
      <c r="AL89" s="148"/>
      <c r="AM89" s="148"/>
      <c r="AN89" s="148"/>
      <c r="AO89" s="148"/>
      <c r="AP89" s="148"/>
      <c r="AQ89" s="148"/>
      <c r="AR89" s="148"/>
      <c r="AW89" s="42"/>
      <c r="AX89" s="42"/>
      <c r="AY89" s="250"/>
    </row>
    <row r="90" spans="1:51" x14ac:dyDescent="0.2">
      <c r="A90" s="13" t="s">
        <v>83</v>
      </c>
      <c r="B90" s="21" t="s">
        <v>146</v>
      </c>
      <c r="C90" s="147">
        <v>13329</v>
      </c>
      <c r="D90" s="147">
        <v>0</v>
      </c>
      <c r="E90" s="147">
        <v>7906</v>
      </c>
      <c r="F90" s="147">
        <v>5423</v>
      </c>
      <c r="G90" s="147">
        <v>13329</v>
      </c>
      <c r="H90" s="147">
        <v>0</v>
      </c>
      <c r="I90" s="732">
        <v>0</v>
      </c>
      <c r="J90" s="732">
        <v>3935.5929999999998</v>
      </c>
      <c r="K90" s="147">
        <v>0</v>
      </c>
      <c r="L90" s="147">
        <v>953.53859945821239</v>
      </c>
      <c r="M90" s="147">
        <v>0</v>
      </c>
      <c r="N90" s="147">
        <v>1202.1027877407055</v>
      </c>
      <c r="O90" s="147">
        <v>0</v>
      </c>
      <c r="P90" s="147">
        <v>2024.3906332489848</v>
      </c>
      <c r="Q90" s="147">
        <v>0</v>
      </c>
      <c r="R90" s="147">
        <v>1305.3317869320174</v>
      </c>
      <c r="S90" s="147">
        <v>0</v>
      </c>
      <c r="T90" s="147">
        <v>884.44729242336632</v>
      </c>
      <c r="U90" s="147">
        <v>0</v>
      </c>
      <c r="V90" s="147">
        <v>595.26582159322925</v>
      </c>
      <c r="W90" s="147">
        <v>68.417423010408356</v>
      </c>
      <c r="X90" s="147">
        <v>0</v>
      </c>
      <c r="Y90" s="147">
        <v>1852.3235248522458</v>
      </c>
      <c r="Z90" s="147">
        <v>0</v>
      </c>
      <c r="AA90" s="147">
        <v>404.31348064737324</v>
      </c>
      <c r="AB90" s="147">
        <v>0</v>
      </c>
      <c r="AC90" s="147">
        <v>691.53417389534309</v>
      </c>
      <c r="AD90" s="147">
        <v>19329.921551105632</v>
      </c>
      <c r="AE90" s="147">
        <v>403419.32799999998</v>
      </c>
      <c r="AF90" s="147">
        <v>696746.09279194195</v>
      </c>
      <c r="AG90" s="147">
        <v>65287087.828415282</v>
      </c>
      <c r="AH90" s="117">
        <v>13</v>
      </c>
      <c r="AK90" s="148">
        <v>13329</v>
      </c>
      <c r="AL90" s="148">
        <v>3935.5929999999998</v>
      </c>
      <c r="AM90" s="148">
        <v>953.53859945821239</v>
      </c>
      <c r="AN90" s="148">
        <v>1202.1027877407055</v>
      </c>
      <c r="AO90" s="148">
        <v>2024.3906332489848</v>
      </c>
      <c r="AP90" s="148">
        <v>1305.3317869320174</v>
      </c>
      <c r="AQ90" s="148">
        <v>884.44729242336632</v>
      </c>
      <c r="AR90" s="148">
        <v>595.26582159322925</v>
      </c>
      <c r="AW90" s="42">
        <v>0</v>
      </c>
      <c r="AX90" s="42">
        <v>13441</v>
      </c>
      <c r="AY90" s="250"/>
    </row>
    <row r="91" spans="1:51" x14ac:dyDescent="0.2">
      <c r="B91" s="12"/>
      <c r="C91" s="147"/>
      <c r="D91" s="147"/>
      <c r="E91" s="147"/>
      <c r="F91" s="147"/>
      <c r="G91" s="147"/>
      <c r="H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17"/>
      <c r="AK91" s="148"/>
      <c r="AL91" s="148"/>
      <c r="AM91" s="148"/>
      <c r="AN91" s="148"/>
      <c r="AO91" s="148"/>
      <c r="AP91" s="148"/>
      <c r="AQ91" s="148"/>
      <c r="AR91" s="148"/>
      <c r="AW91" s="42"/>
      <c r="AX91" s="42"/>
      <c r="AY91" s="250"/>
    </row>
    <row r="92" spans="1:51" x14ac:dyDescent="0.2">
      <c r="A92" s="3" t="s">
        <v>143</v>
      </c>
      <c r="B92" s="19" t="s">
        <v>144</v>
      </c>
      <c r="C92" s="147">
        <v>33936</v>
      </c>
      <c r="D92" s="147">
        <v>20607</v>
      </c>
      <c r="E92" s="147">
        <v>7906</v>
      </c>
      <c r="F92" s="147">
        <v>5423</v>
      </c>
      <c r="G92" s="147">
        <v>13329</v>
      </c>
      <c r="H92" s="147">
        <v>0</v>
      </c>
      <c r="I92" s="732">
        <v>6246.7924778761062</v>
      </c>
      <c r="J92" s="732">
        <v>3935.5929999999998</v>
      </c>
      <c r="K92" s="147">
        <v>1354.8216287074592</v>
      </c>
      <c r="L92" s="147">
        <v>953.53859945821239</v>
      </c>
      <c r="M92" s="147">
        <v>1948.6110422460069</v>
      </c>
      <c r="N92" s="147">
        <v>1202.1027877407055</v>
      </c>
      <c r="O92" s="147">
        <v>3496.1491516640062</v>
      </c>
      <c r="P92" s="147">
        <v>2024.3906332489848</v>
      </c>
      <c r="Q92" s="147">
        <v>2607.0185846718941</v>
      </c>
      <c r="R92" s="147">
        <v>1305.3317869320174</v>
      </c>
      <c r="S92" s="147">
        <v>1781.7848157158251</v>
      </c>
      <c r="T92" s="147">
        <v>884.44729242336632</v>
      </c>
      <c r="U92" s="147">
        <v>1157.2034356213271</v>
      </c>
      <c r="V92" s="147">
        <v>595.26582159322925</v>
      </c>
      <c r="W92" s="147">
        <v>122.3219073411409</v>
      </c>
      <c r="X92" s="147">
        <v>0</v>
      </c>
      <c r="Y92" s="147">
        <v>1852.3235248522458</v>
      </c>
      <c r="Z92" s="147">
        <v>2782.7144689568777</v>
      </c>
      <c r="AA92" s="147">
        <v>404.31348064737324</v>
      </c>
      <c r="AB92" s="147">
        <v>1506.7363058120816</v>
      </c>
      <c r="AC92" s="147">
        <v>691.53417389534309</v>
      </c>
      <c r="AD92" s="147">
        <v>19329.921551105632</v>
      </c>
      <c r="AE92" s="147">
        <v>1450572.771885714</v>
      </c>
      <c r="AF92" s="147">
        <v>972751.21663703443</v>
      </c>
      <c r="AG92" s="147">
        <v>144871253.3752566</v>
      </c>
      <c r="AH92" s="117">
        <v>84</v>
      </c>
      <c r="AK92" s="148">
        <v>13329</v>
      </c>
      <c r="AL92" s="148">
        <v>10182.385477876105</v>
      </c>
      <c r="AM92" s="148">
        <v>2308.3602281656717</v>
      </c>
      <c r="AN92" s="148">
        <v>3150.7138299867124</v>
      </c>
      <c r="AO92" s="148">
        <v>5520.5397849129913</v>
      </c>
      <c r="AP92" s="148">
        <v>3912.3503716039113</v>
      </c>
      <c r="AQ92" s="148">
        <v>2666.2321081391915</v>
      </c>
      <c r="AR92" s="148">
        <v>1752.4692572145564</v>
      </c>
      <c r="AS92" s="119"/>
      <c r="AT92" s="248"/>
      <c r="AU92" s="248"/>
      <c r="AV92" s="248"/>
      <c r="AW92" s="62">
        <v>19889</v>
      </c>
      <c r="AX92" s="62">
        <v>13441</v>
      </c>
      <c r="AY92" s="251"/>
    </row>
    <row r="93" spans="1:51" x14ac:dyDescent="0.2">
      <c r="B93" s="12"/>
    </row>
    <row r="94" spans="1:51" s="34" customFormat="1" x14ac:dyDescent="0.2">
      <c r="A94" s="34">
        <v>1</v>
      </c>
      <c r="B94" s="35">
        <v>2</v>
      </c>
      <c r="C94" s="34">
        <v>3</v>
      </c>
      <c r="D94" s="35">
        <v>4</v>
      </c>
      <c r="E94" s="34">
        <v>5</v>
      </c>
      <c r="F94" s="35">
        <v>6</v>
      </c>
      <c r="G94" s="34">
        <v>7</v>
      </c>
      <c r="H94" s="35">
        <v>8</v>
      </c>
      <c r="I94" s="735">
        <v>9</v>
      </c>
      <c r="J94" s="735">
        <v>10</v>
      </c>
      <c r="K94" s="34">
        <v>11</v>
      </c>
      <c r="L94" s="35">
        <v>12</v>
      </c>
      <c r="M94" s="34">
        <v>13</v>
      </c>
      <c r="N94" s="35">
        <v>14</v>
      </c>
      <c r="O94" s="34">
        <v>15</v>
      </c>
      <c r="P94" s="35">
        <v>16</v>
      </c>
      <c r="Q94" s="34">
        <v>17</v>
      </c>
      <c r="R94" s="35">
        <v>18</v>
      </c>
      <c r="S94" s="34">
        <v>19</v>
      </c>
      <c r="T94" s="35">
        <v>20</v>
      </c>
      <c r="U94" s="34">
        <v>21</v>
      </c>
      <c r="V94" s="35">
        <v>22</v>
      </c>
      <c r="W94" s="34">
        <v>23</v>
      </c>
      <c r="X94" s="35">
        <v>24</v>
      </c>
      <c r="Y94" s="34">
        <v>25</v>
      </c>
      <c r="Z94" s="35">
        <v>26</v>
      </c>
      <c r="AA94" s="34">
        <v>27</v>
      </c>
      <c r="AB94" s="35">
        <v>28</v>
      </c>
      <c r="AC94" s="34">
        <v>29</v>
      </c>
      <c r="AD94" s="35">
        <v>30</v>
      </c>
      <c r="AE94" s="34">
        <v>31</v>
      </c>
      <c r="AF94" s="35">
        <v>32</v>
      </c>
      <c r="AG94" s="34">
        <v>33</v>
      </c>
      <c r="AH94" s="35">
        <v>34</v>
      </c>
      <c r="AI94" s="34">
        <v>35</v>
      </c>
      <c r="AJ94" s="35">
        <v>36</v>
      </c>
      <c r="AK94" s="34">
        <v>37</v>
      </c>
      <c r="AL94" s="35">
        <v>38</v>
      </c>
      <c r="AM94" s="34">
        <v>39</v>
      </c>
      <c r="AN94" s="35">
        <v>40</v>
      </c>
      <c r="AO94" s="34">
        <v>41</v>
      </c>
      <c r="AP94" s="35">
        <v>42</v>
      </c>
      <c r="AQ94" s="34">
        <v>43</v>
      </c>
      <c r="AR94" s="35">
        <v>44</v>
      </c>
      <c r="AS94" s="34">
        <v>45</v>
      </c>
    </row>
    <row r="95" spans="1:51" x14ac:dyDescent="0.2">
      <c r="B95" s="12"/>
    </row>
    <row r="96" spans="1:51" x14ac:dyDescent="0.2">
      <c r="B96" s="12"/>
      <c r="D96" s="2"/>
      <c r="AX96" s="42"/>
    </row>
    <row r="97" spans="2:33" x14ac:dyDescent="0.2">
      <c r="B97" s="12"/>
      <c r="H97" s="2"/>
      <c r="AD97" s="702"/>
      <c r="AE97" s="702"/>
      <c r="AF97" s="702"/>
      <c r="AG97" s="42">
        <v>557170.25856433797</v>
      </c>
    </row>
    <row r="98" spans="2:33" x14ac:dyDescent="0.2">
      <c r="B98" s="12"/>
      <c r="AG98" s="42">
        <v>144314083.11669227</v>
      </c>
    </row>
    <row r="99" spans="2:33" x14ac:dyDescent="0.2">
      <c r="B99" s="12"/>
      <c r="AE99" s="147">
        <v>0</v>
      </c>
    </row>
    <row r="100" spans="2:33" x14ac:dyDescent="0.2">
      <c r="B100" s="12"/>
    </row>
    <row r="101" spans="2:33" x14ac:dyDescent="0.2">
      <c r="B101" s="12"/>
    </row>
    <row r="102" spans="2:33" x14ac:dyDescent="0.2">
      <c r="B102" s="12"/>
    </row>
    <row r="103" spans="2:33" x14ac:dyDescent="0.2">
      <c r="B103" s="12"/>
    </row>
    <row r="104" spans="2:33" x14ac:dyDescent="0.2">
      <c r="B104" s="12"/>
    </row>
    <row r="105" spans="2:33" x14ac:dyDescent="0.2">
      <c r="B105" s="12"/>
    </row>
    <row r="106" spans="2:33" x14ac:dyDescent="0.2">
      <c r="B106" s="12"/>
    </row>
    <row r="107" spans="2:33" x14ac:dyDescent="0.2">
      <c r="B107" s="12"/>
    </row>
    <row r="108" spans="2:33" x14ac:dyDescent="0.2">
      <c r="B108" s="12"/>
    </row>
    <row r="109" spans="2:33" x14ac:dyDescent="0.2">
      <c r="B109" s="12"/>
    </row>
    <row r="110" spans="2:33" x14ac:dyDescent="0.2">
      <c r="B110" s="12"/>
    </row>
    <row r="111" spans="2:33" x14ac:dyDescent="0.2">
      <c r="B111" s="12"/>
    </row>
    <row r="112" spans="2:33" x14ac:dyDescent="0.2">
      <c r="B112" s="12"/>
    </row>
    <row r="113" spans="2:2" x14ac:dyDescent="0.2">
      <c r="B113" s="12"/>
    </row>
    <row r="114" spans="2:2" x14ac:dyDescent="0.2">
      <c r="B114" s="12"/>
    </row>
    <row r="115" spans="2:2" x14ac:dyDescent="0.2">
      <c r="B115" s="12"/>
    </row>
    <row r="116" spans="2:2" x14ac:dyDescent="0.2">
      <c r="B116" s="12"/>
    </row>
    <row r="117" spans="2:2" x14ac:dyDescent="0.2">
      <c r="B117" s="12"/>
    </row>
    <row r="118" spans="2:2" x14ac:dyDescent="0.2">
      <c r="B118" s="12"/>
    </row>
    <row r="119" spans="2:2" x14ac:dyDescent="0.2">
      <c r="B119" s="12"/>
    </row>
    <row r="120" spans="2:2" x14ac:dyDescent="0.2">
      <c r="B120" s="12"/>
    </row>
    <row r="121" spans="2:2" x14ac:dyDescent="0.2">
      <c r="B121" s="12"/>
    </row>
    <row r="122" spans="2:2" x14ac:dyDescent="0.2">
      <c r="B122" s="12"/>
    </row>
    <row r="123" spans="2:2" x14ac:dyDescent="0.2">
      <c r="B123" s="12"/>
    </row>
    <row r="124" spans="2:2" x14ac:dyDescent="0.2">
      <c r="B124" s="12"/>
    </row>
    <row r="125" spans="2:2" x14ac:dyDescent="0.2">
      <c r="B125" s="12"/>
    </row>
    <row r="126" spans="2:2" x14ac:dyDescent="0.2">
      <c r="B126" s="12"/>
    </row>
    <row r="127" spans="2:2" x14ac:dyDescent="0.2">
      <c r="B127" s="12"/>
    </row>
    <row r="128" spans="2:2" x14ac:dyDescent="0.2">
      <c r="B128" s="12"/>
    </row>
    <row r="129" spans="2:2" x14ac:dyDescent="0.2">
      <c r="B129" s="12"/>
    </row>
    <row r="130" spans="2:2" x14ac:dyDescent="0.2">
      <c r="B130" s="12"/>
    </row>
    <row r="131" spans="2:2" x14ac:dyDescent="0.2">
      <c r="B131" s="12"/>
    </row>
    <row r="132" spans="2:2" x14ac:dyDescent="0.2">
      <c r="B132" s="12"/>
    </row>
    <row r="133" spans="2:2" x14ac:dyDescent="0.2">
      <c r="B133" s="12"/>
    </row>
    <row r="134" spans="2:2" x14ac:dyDescent="0.2">
      <c r="B134" s="12"/>
    </row>
    <row r="135" spans="2:2" x14ac:dyDescent="0.2">
      <c r="B135" s="12"/>
    </row>
    <row r="136" spans="2:2" x14ac:dyDescent="0.2">
      <c r="B136" s="12"/>
    </row>
    <row r="137" spans="2:2" x14ac:dyDescent="0.2">
      <c r="B137" s="12"/>
    </row>
    <row r="138" spans="2:2" x14ac:dyDescent="0.2">
      <c r="B138" s="12"/>
    </row>
    <row r="139" spans="2:2" x14ac:dyDescent="0.2">
      <c r="B139" s="12"/>
    </row>
    <row r="140" spans="2:2" x14ac:dyDescent="0.2">
      <c r="B140" s="12"/>
    </row>
    <row r="141" spans="2:2" x14ac:dyDescent="0.2">
      <c r="B141" s="12"/>
    </row>
    <row r="142" spans="2:2" x14ac:dyDescent="0.2">
      <c r="B142" s="12"/>
    </row>
    <row r="143" spans="2:2" x14ac:dyDescent="0.2">
      <c r="B143" s="12"/>
    </row>
    <row r="144" spans="2:2" x14ac:dyDescent="0.2">
      <c r="B144" s="12"/>
    </row>
    <row r="145" spans="2:2" x14ac:dyDescent="0.2">
      <c r="B145" s="12"/>
    </row>
    <row r="146" spans="2:2" x14ac:dyDescent="0.2">
      <c r="B146" s="12"/>
    </row>
    <row r="147" spans="2:2" x14ac:dyDescent="0.2">
      <c r="B147" s="12"/>
    </row>
    <row r="148" spans="2:2" x14ac:dyDescent="0.2">
      <c r="B148" s="12"/>
    </row>
    <row r="149" spans="2:2" x14ac:dyDescent="0.2">
      <c r="B149" s="12"/>
    </row>
    <row r="150" spans="2:2" x14ac:dyDescent="0.2">
      <c r="B150" s="12"/>
    </row>
    <row r="151" spans="2:2" x14ac:dyDescent="0.2">
      <c r="B151" s="12"/>
    </row>
    <row r="152" spans="2:2" x14ac:dyDescent="0.2">
      <c r="B152" s="12"/>
    </row>
    <row r="153" spans="2:2" x14ac:dyDescent="0.2">
      <c r="B153" s="12"/>
    </row>
    <row r="154" spans="2:2" x14ac:dyDescent="0.2">
      <c r="B154" s="12"/>
    </row>
    <row r="155" spans="2:2" x14ac:dyDescent="0.2">
      <c r="B155" s="12"/>
    </row>
    <row r="156" spans="2:2" x14ac:dyDescent="0.2">
      <c r="B156" s="12"/>
    </row>
    <row r="157" spans="2:2" x14ac:dyDescent="0.2">
      <c r="B157" s="12"/>
    </row>
    <row r="158" spans="2:2" x14ac:dyDescent="0.2">
      <c r="B158" s="12"/>
    </row>
    <row r="159" spans="2:2" x14ac:dyDescent="0.2">
      <c r="B159" s="12"/>
    </row>
    <row r="160" spans="2:2" x14ac:dyDescent="0.2">
      <c r="B160" s="12"/>
    </row>
    <row r="161" spans="2:2" x14ac:dyDescent="0.2">
      <c r="B161" s="12"/>
    </row>
    <row r="162" spans="2:2" x14ac:dyDescent="0.2">
      <c r="B162" s="12"/>
    </row>
    <row r="163" spans="2:2" x14ac:dyDescent="0.2">
      <c r="B163" s="12"/>
    </row>
    <row r="164" spans="2:2" x14ac:dyDescent="0.2">
      <c r="B164" s="12"/>
    </row>
    <row r="165" spans="2:2" x14ac:dyDescent="0.2">
      <c r="B165" s="12"/>
    </row>
    <row r="166" spans="2:2" x14ac:dyDescent="0.2">
      <c r="B166" s="12"/>
    </row>
    <row r="167" spans="2:2" x14ac:dyDescent="0.2">
      <c r="B167" s="12"/>
    </row>
    <row r="168" spans="2:2" x14ac:dyDescent="0.2">
      <c r="B168" s="12"/>
    </row>
    <row r="169" spans="2:2" x14ac:dyDescent="0.2">
      <c r="B169" s="12"/>
    </row>
    <row r="170" spans="2:2" x14ac:dyDescent="0.2">
      <c r="B170" s="12"/>
    </row>
    <row r="171" spans="2:2" x14ac:dyDescent="0.2">
      <c r="B171" s="12"/>
    </row>
    <row r="172" spans="2:2" x14ac:dyDescent="0.2">
      <c r="B172" s="12"/>
    </row>
    <row r="173" spans="2:2" x14ac:dyDescent="0.2">
      <c r="B173" s="12"/>
    </row>
    <row r="174" spans="2:2" x14ac:dyDescent="0.2">
      <c r="B174" s="12"/>
    </row>
    <row r="175" spans="2:2" x14ac:dyDescent="0.2">
      <c r="B175" s="12"/>
    </row>
  </sheetData>
  <sheetProtection password="EF5C" sheet="1" objects="1" scenarios="1"/>
  <phoneticPr fontId="2" type="noConversion"/>
  <pageMargins left="0.23622047244094491" right="0.19685039370078741" top="0.55118110236220474" bottom="0.55118110236220474" header="0.11811023622047245" footer="0.11811023622047245"/>
  <pageSetup paperSize="9" scale="55" fitToWidth="2" fitToHeight="2" orientation="landscape" r:id="rId1"/>
  <headerFooter alignWithMargins="0">
    <oddFooter>&amp;C&amp;Z&amp;F</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81"/>
  <sheetViews>
    <sheetView workbookViewId="0">
      <pane xSplit="1" ySplit="1" topLeftCell="B101" activePane="bottomRight" state="frozen"/>
      <selection sqref="A1:M1048576"/>
      <selection pane="topRight" sqref="A1:M1048576"/>
      <selection pane="bottomLeft" sqref="A1:M1048576"/>
      <selection pane="bottomRight" sqref="A1:M1048576"/>
    </sheetView>
  </sheetViews>
  <sheetFormatPr defaultRowHeight="12.75" x14ac:dyDescent="0.2"/>
  <cols>
    <col min="1" max="1" width="49.85546875" style="188" hidden="1" customWidth="1"/>
    <col min="2" max="2" width="0" style="188" hidden="1" customWidth="1"/>
    <col min="3" max="3" width="3.85546875" style="188" hidden="1" customWidth="1"/>
    <col min="4" max="4" width="0" style="188" hidden="1" customWidth="1"/>
    <col min="5" max="5" width="24.7109375" style="188" hidden="1" customWidth="1"/>
    <col min="6" max="6" width="14.140625" style="188" hidden="1" customWidth="1"/>
    <col min="7" max="7" width="9.7109375" style="188" hidden="1" customWidth="1"/>
    <col min="8" max="8" width="25.28515625" style="190" hidden="1" customWidth="1"/>
    <col min="9" max="9" width="10.7109375" style="188" hidden="1" customWidth="1"/>
    <col min="10" max="10" width="12.7109375" style="188" hidden="1" customWidth="1"/>
    <col min="11" max="13" width="0" style="188" hidden="1" customWidth="1"/>
    <col min="14" max="16384" width="9.140625" style="188"/>
  </cols>
  <sheetData>
    <row r="1" spans="1:10" x14ac:dyDescent="0.2">
      <c r="A1" s="188" t="s">
        <v>367</v>
      </c>
      <c r="B1" s="188" t="s">
        <v>368</v>
      </c>
      <c r="D1" s="188" t="s">
        <v>369</v>
      </c>
      <c r="E1" s="188" t="s">
        <v>370</v>
      </c>
      <c r="F1" s="188" t="s">
        <v>371</v>
      </c>
      <c r="G1" s="189" t="s">
        <v>359</v>
      </c>
      <c r="H1" s="190" t="s">
        <v>372</v>
      </c>
      <c r="I1" s="188" t="s">
        <v>373</v>
      </c>
      <c r="J1" s="188" t="s">
        <v>374</v>
      </c>
    </row>
    <row r="3" spans="1:10" x14ac:dyDescent="0.2">
      <c r="A3" s="242" t="s">
        <v>375</v>
      </c>
      <c r="B3" s="192"/>
      <c r="C3" s="192"/>
      <c r="D3" s="192"/>
      <c r="E3" s="192"/>
      <c r="F3" s="192"/>
      <c r="G3" s="193">
        <v>158406</v>
      </c>
    </row>
    <row r="5" spans="1:10" x14ac:dyDescent="0.2">
      <c r="A5" s="188" t="s">
        <v>376</v>
      </c>
      <c r="B5" s="194">
        <v>3015105</v>
      </c>
      <c r="D5" s="188" t="s">
        <v>377</v>
      </c>
      <c r="E5" s="188" t="s">
        <v>378</v>
      </c>
      <c r="F5" s="188" t="s">
        <v>379</v>
      </c>
      <c r="G5" s="195">
        <v>150000</v>
      </c>
      <c r="I5" s="195">
        <v>150000</v>
      </c>
    </row>
    <row r="6" spans="1:10" x14ac:dyDescent="0.2">
      <c r="A6" s="188" t="s">
        <v>376</v>
      </c>
      <c r="B6" s="194">
        <v>3015105</v>
      </c>
      <c r="D6" s="188" t="s">
        <v>380</v>
      </c>
      <c r="E6" s="188" t="s">
        <v>381</v>
      </c>
      <c r="F6" s="188" t="s">
        <v>379</v>
      </c>
      <c r="G6" s="195">
        <v>7483</v>
      </c>
      <c r="I6" s="195">
        <v>7483</v>
      </c>
    </row>
    <row r="7" spans="1:10" x14ac:dyDescent="0.2">
      <c r="A7" s="188" t="s">
        <v>376</v>
      </c>
      <c r="B7" s="188">
        <v>3015105</v>
      </c>
      <c r="D7" s="188" t="s">
        <v>382</v>
      </c>
      <c r="E7" s="188" t="s">
        <v>383</v>
      </c>
      <c r="F7" s="188" t="s">
        <v>379</v>
      </c>
      <c r="G7" s="195">
        <v>223</v>
      </c>
      <c r="J7" s="195">
        <v>223</v>
      </c>
    </row>
    <row r="8" spans="1:10" x14ac:dyDescent="0.2">
      <c r="A8" s="188" t="s">
        <v>376</v>
      </c>
      <c r="B8" s="188">
        <v>3015105</v>
      </c>
      <c r="D8" s="188" t="s">
        <v>384</v>
      </c>
      <c r="E8" s="188" t="s">
        <v>385</v>
      </c>
      <c r="F8" s="188" t="s">
        <v>379</v>
      </c>
      <c r="G8" s="195">
        <v>434</v>
      </c>
      <c r="J8" s="195">
        <v>434</v>
      </c>
    </row>
    <row r="9" spans="1:10" x14ac:dyDescent="0.2">
      <c r="A9" s="188" t="s">
        <v>376</v>
      </c>
      <c r="B9" s="188">
        <v>3015105</v>
      </c>
      <c r="D9" s="188" t="s">
        <v>386</v>
      </c>
      <c r="E9" s="188" t="s">
        <v>387</v>
      </c>
      <c r="F9" s="188" t="s">
        <v>379</v>
      </c>
      <c r="G9" s="195">
        <v>1</v>
      </c>
      <c r="J9" s="195">
        <v>1</v>
      </c>
    </row>
    <row r="10" spans="1:10" x14ac:dyDescent="0.2">
      <c r="A10" s="188" t="s">
        <v>376</v>
      </c>
      <c r="B10" s="188">
        <v>3015105</v>
      </c>
      <c r="D10" s="188" t="s">
        <v>388</v>
      </c>
      <c r="E10" s="188" t="s">
        <v>389</v>
      </c>
      <c r="F10" s="188" t="s">
        <v>379</v>
      </c>
      <c r="G10" s="195">
        <v>160</v>
      </c>
      <c r="J10" s="195">
        <v>160</v>
      </c>
    </row>
    <row r="11" spans="1:10" x14ac:dyDescent="0.2">
      <c r="A11" s="188" t="s">
        <v>376</v>
      </c>
      <c r="B11" s="188">
        <v>3015105</v>
      </c>
      <c r="D11" s="188" t="s">
        <v>390</v>
      </c>
      <c r="E11" s="188" t="s">
        <v>391</v>
      </c>
      <c r="F11" s="188" t="s">
        <v>379</v>
      </c>
      <c r="G11" s="195">
        <v>7</v>
      </c>
      <c r="J11" s="195">
        <v>7</v>
      </c>
    </row>
    <row r="12" spans="1:10" x14ac:dyDescent="0.2">
      <c r="A12" s="188" t="s">
        <v>376</v>
      </c>
      <c r="B12" s="188">
        <v>3015105</v>
      </c>
      <c r="D12" s="188" t="s">
        <v>392</v>
      </c>
      <c r="E12" s="188" t="s">
        <v>393</v>
      </c>
      <c r="F12" s="188" t="s">
        <v>379</v>
      </c>
      <c r="G12" s="195">
        <v>37</v>
      </c>
      <c r="J12" s="195">
        <v>37</v>
      </c>
    </row>
    <row r="13" spans="1:10" x14ac:dyDescent="0.2">
      <c r="A13" s="188" t="s">
        <v>376</v>
      </c>
      <c r="B13" s="188">
        <v>3015105</v>
      </c>
      <c r="D13" s="188" t="s">
        <v>394</v>
      </c>
      <c r="E13" s="188" t="s">
        <v>395</v>
      </c>
      <c r="F13" s="188" t="s">
        <v>379</v>
      </c>
      <c r="G13" s="195">
        <v>48</v>
      </c>
      <c r="J13" s="195">
        <v>48</v>
      </c>
    </row>
    <row r="14" spans="1:10" x14ac:dyDescent="0.2">
      <c r="A14" s="188" t="s">
        <v>376</v>
      </c>
      <c r="B14" s="188">
        <v>3015105</v>
      </c>
      <c r="D14" s="188" t="s">
        <v>396</v>
      </c>
      <c r="E14" s="188" t="s">
        <v>397</v>
      </c>
      <c r="F14" s="188" t="s">
        <v>379</v>
      </c>
      <c r="G14" s="195">
        <v>13</v>
      </c>
      <c r="J14" s="195">
        <v>13</v>
      </c>
    </row>
    <row r="16" spans="1:10" x14ac:dyDescent="0.2">
      <c r="G16" s="195">
        <v>158406</v>
      </c>
    </row>
    <row r="18" spans="1:10" x14ac:dyDescent="0.2">
      <c r="A18" s="242" t="s">
        <v>398</v>
      </c>
      <c r="B18" s="192"/>
      <c r="C18" s="192"/>
      <c r="D18" s="192"/>
      <c r="E18" s="192"/>
      <c r="F18" s="192"/>
      <c r="G18" s="193">
        <v>104818.00000000001</v>
      </c>
    </row>
    <row r="20" spans="1:10" x14ac:dyDescent="0.2">
      <c r="A20" s="188" t="s">
        <v>399</v>
      </c>
      <c r="B20" s="194">
        <v>3001101</v>
      </c>
      <c r="D20" s="188" t="s">
        <v>400</v>
      </c>
      <c r="E20" s="188" t="s">
        <v>399</v>
      </c>
      <c r="F20" s="196" t="s">
        <v>401</v>
      </c>
      <c r="G20" s="195">
        <v>66002</v>
      </c>
      <c r="I20" s="195">
        <v>66002</v>
      </c>
    </row>
    <row r="21" spans="1:10" x14ac:dyDescent="0.2">
      <c r="A21" s="188" t="s">
        <v>402</v>
      </c>
      <c r="B21" s="194">
        <v>3001102</v>
      </c>
      <c r="D21" s="188" t="s">
        <v>403</v>
      </c>
      <c r="E21" s="188" t="s">
        <v>404</v>
      </c>
      <c r="F21" s="188" t="s">
        <v>401</v>
      </c>
      <c r="G21" s="195">
        <v>60000</v>
      </c>
      <c r="I21" s="195">
        <v>60000</v>
      </c>
    </row>
    <row r="22" spans="1:10" x14ac:dyDescent="0.2">
      <c r="A22" s="188" t="s">
        <v>405</v>
      </c>
      <c r="B22" s="188">
        <v>3023107</v>
      </c>
      <c r="D22" s="188" t="s">
        <v>406</v>
      </c>
      <c r="E22" s="188" t="s">
        <v>407</v>
      </c>
      <c r="F22" s="188" t="s">
        <v>401</v>
      </c>
      <c r="G22" s="195">
        <v>9</v>
      </c>
      <c r="I22" s="195">
        <v>9</v>
      </c>
    </row>
    <row r="23" spans="1:10" x14ac:dyDescent="0.2">
      <c r="A23" s="188" t="s">
        <v>405</v>
      </c>
      <c r="B23" s="194">
        <v>3023107</v>
      </c>
      <c r="D23" s="188" t="s">
        <v>400</v>
      </c>
      <c r="E23" s="188" t="s">
        <v>399</v>
      </c>
      <c r="F23" s="188" t="s">
        <v>401</v>
      </c>
      <c r="G23" s="195">
        <v>-22615</v>
      </c>
      <c r="I23" s="195">
        <v>-22615</v>
      </c>
    </row>
    <row r="24" spans="1:10" x14ac:dyDescent="0.2">
      <c r="A24" s="188" t="s">
        <v>405</v>
      </c>
      <c r="B24" s="188">
        <v>3023107</v>
      </c>
      <c r="D24" s="188" t="s">
        <v>382</v>
      </c>
      <c r="E24" s="188" t="s">
        <v>383</v>
      </c>
      <c r="F24" s="188" t="s">
        <v>401</v>
      </c>
      <c r="G24" s="195">
        <v>47</v>
      </c>
      <c r="J24" s="195">
        <v>47</v>
      </c>
    </row>
    <row r="25" spans="1:10" x14ac:dyDescent="0.2">
      <c r="A25" s="188" t="s">
        <v>405</v>
      </c>
      <c r="B25" s="188">
        <v>3023107</v>
      </c>
      <c r="D25" s="188" t="s">
        <v>384</v>
      </c>
      <c r="E25" s="188" t="s">
        <v>385</v>
      </c>
      <c r="F25" s="188" t="s">
        <v>401</v>
      </c>
      <c r="G25" s="195">
        <v>91</v>
      </c>
      <c r="J25" s="195">
        <v>91</v>
      </c>
    </row>
    <row r="26" spans="1:10" x14ac:dyDescent="0.2">
      <c r="A26" s="188" t="s">
        <v>405</v>
      </c>
      <c r="B26" s="188">
        <v>3023107</v>
      </c>
      <c r="D26" s="188" t="s">
        <v>388</v>
      </c>
      <c r="E26" s="188" t="s">
        <v>389</v>
      </c>
      <c r="F26" s="188" t="s">
        <v>401</v>
      </c>
      <c r="G26" s="195">
        <v>34</v>
      </c>
      <c r="J26" s="195">
        <v>34</v>
      </c>
    </row>
    <row r="27" spans="1:10" x14ac:dyDescent="0.2">
      <c r="A27" s="188" t="s">
        <v>405</v>
      </c>
      <c r="B27" s="188">
        <v>3023107</v>
      </c>
      <c r="D27" s="188" t="s">
        <v>408</v>
      </c>
      <c r="E27" s="188" t="s">
        <v>409</v>
      </c>
      <c r="F27" s="188" t="s">
        <v>401</v>
      </c>
      <c r="G27" s="195">
        <v>1229</v>
      </c>
      <c r="J27" s="195">
        <v>1229</v>
      </c>
    </row>
    <row r="28" spans="1:10" x14ac:dyDescent="0.2">
      <c r="A28" s="188" t="s">
        <v>405</v>
      </c>
      <c r="B28" s="188">
        <v>3023107</v>
      </c>
      <c r="D28" s="188" t="s">
        <v>392</v>
      </c>
      <c r="E28" s="188" t="s">
        <v>393</v>
      </c>
      <c r="F28" s="188" t="s">
        <v>401</v>
      </c>
      <c r="G28" s="195">
        <v>8</v>
      </c>
      <c r="J28" s="195">
        <v>8</v>
      </c>
    </row>
    <row r="29" spans="1:10" x14ac:dyDescent="0.2">
      <c r="A29" s="188" t="s">
        <v>405</v>
      </c>
      <c r="B29" s="188">
        <v>3023107</v>
      </c>
      <c r="D29" s="188" t="s">
        <v>394</v>
      </c>
      <c r="E29" s="188" t="s">
        <v>395</v>
      </c>
      <c r="F29" s="188" t="s">
        <v>401</v>
      </c>
      <c r="G29" s="195">
        <v>10</v>
      </c>
      <c r="J29" s="195">
        <v>10</v>
      </c>
    </row>
    <row r="30" spans="1:10" x14ac:dyDescent="0.2">
      <c r="A30" s="188" t="s">
        <v>405</v>
      </c>
      <c r="B30" s="188">
        <v>3023107</v>
      </c>
      <c r="D30" s="188" t="s">
        <v>396</v>
      </c>
      <c r="E30" s="188" t="s">
        <v>397</v>
      </c>
      <c r="F30" s="188" t="s">
        <v>401</v>
      </c>
      <c r="G30" s="195">
        <v>3</v>
      </c>
      <c r="J30" s="195">
        <v>3</v>
      </c>
    </row>
    <row r="32" spans="1:10" x14ac:dyDescent="0.2">
      <c r="G32" s="195">
        <v>104818</v>
      </c>
    </row>
    <row r="34" spans="1:9" x14ac:dyDescent="0.2">
      <c r="A34" s="191" t="s">
        <v>410</v>
      </c>
      <c r="B34" s="192"/>
      <c r="C34" s="192"/>
      <c r="D34" s="192"/>
      <c r="E34" s="192"/>
      <c r="F34" s="192"/>
      <c r="G34" s="193">
        <v>1416795.77</v>
      </c>
    </row>
    <row r="36" spans="1:9" x14ac:dyDescent="0.2">
      <c r="A36" s="188" t="s">
        <v>411</v>
      </c>
      <c r="B36" s="194">
        <v>3014110</v>
      </c>
      <c r="D36" s="188" t="s">
        <v>412</v>
      </c>
      <c r="E36" s="188" t="s">
        <v>413</v>
      </c>
      <c r="F36" s="188" t="s">
        <v>414</v>
      </c>
      <c r="G36" s="195">
        <v>99903</v>
      </c>
      <c r="I36" s="195">
        <v>99903</v>
      </c>
    </row>
    <row r="37" spans="1:9" x14ac:dyDescent="0.2">
      <c r="A37" s="188" t="s">
        <v>411</v>
      </c>
      <c r="B37" s="194">
        <v>3014110</v>
      </c>
      <c r="D37" s="188" t="s">
        <v>415</v>
      </c>
      <c r="E37" s="188" t="s">
        <v>416</v>
      </c>
      <c r="F37" s="188" t="s">
        <v>414</v>
      </c>
      <c r="G37" s="195">
        <v>20687</v>
      </c>
      <c r="I37" s="195">
        <v>20687</v>
      </c>
    </row>
    <row r="38" spans="1:9" x14ac:dyDescent="0.2">
      <c r="A38" s="188" t="s">
        <v>411</v>
      </c>
      <c r="B38" s="194">
        <v>3014110</v>
      </c>
      <c r="D38" s="188" t="s">
        <v>417</v>
      </c>
      <c r="E38" s="188" t="s">
        <v>418</v>
      </c>
      <c r="F38" s="188" t="s">
        <v>414</v>
      </c>
      <c r="G38" s="195">
        <v>43455</v>
      </c>
      <c r="I38" s="195">
        <v>43455</v>
      </c>
    </row>
    <row r="39" spans="1:9" x14ac:dyDescent="0.2">
      <c r="A39" s="188" t="s">
        <v>411</v>
      </c>
      <c r="B39" s="194">
        <v>3014110</v>
      </c>
      <c r="D39" s="188" t="s">
        <v>419</v>
      </c>
      <c r="E39" s="188" t="s">
        <v>420</v>
      </c>
      <c r="F39" s="188" t="s">
        <v>414</v>
      </c>
      <c r="G39" s="195">
        <v>48119</v>
      </c>
      <c r="I39" s="195">
        <v>48119</v>
      </c>
    </row>
    <row r="40" spans="1:9" x14ac:dyDescent="0.2">
      <c r="A40" s="188" t="s">
        <v>411</v>
      </c>
      <c r="B40" s="194">
        <v>3014110</v>
      </c>
      <c r="D40" s="188" t="s">
        <v>421</v>
      </c>
      <c r="E40" s="188" t="s">
        <v>422</v>
      </c>
      <c r="F40" s="188" t="s">
        <v>414</v>
      </c>
      <c r="G40" s="195">
        <v>3436</v>
      </c>
      <c r="I40" s="195">
        <v>3436</v>
      </c>
    </row>
    <row r="41" spans="1:9" x14ac:dyDescent="0.2">
      <c r="A41" s="188" t="s">
        <v>411</v>
      </c>
      <c r="B41" s="194">
        <v>3014110</v>
      </c>
      <c r="D41" s="188" t="s">
        <v>423</v>
      </c>
      <c r="E41" s="188" t="s">
        <v>424</v>
      </c>
      <c r="F41" s="188" t="s">
        <v>414</v>
      </c>
      <c r="G41" s="195">
        <v>8102</v>
      </c>
      <c r="I41" s="195">
        <v>8102</v>
      </c>
    </row>
    <row r="42" spans="1:9" x14ac:dyDescent="0.2">
      <c r="A42" s="188" t="s">
        <v>411</v>
      </c>
      <c r="B42" s="194">
        <v>3014110</v>
      </c>
      <c r="D42" s="188" t="s">
        <v>425</v>
      </c>
      <c r="E42" s="188" t="s">
        <v>426</v>
      </c>
      <c r="F42" s="188" t="s">
        <v>414</v>
      </c>
      <c r="G42" s="195">
        <v>79728</v>
      </c>
      <c r="I42" s="195">
        <v>79728</v>
      </c>
    </row>
    <row r="43" spans="1:9" x14ac:dyDescent="0.2">
      <c r="A43" s="188" t="s">
        <v>411</v>
      </c>
      <c r="B43" s="194">
        <v>3014110</v>
      </c>
      <c r="D43" s="188" t="s">
        <v>427</v>
      </c>
      <c r="E43" s="188" t="s">
        <v>428</v>
      </c>
      <c r="F43" s="188" t="s">
        <v>414</v>
      </c>
      <c r="G43" s="195">
        <v>5289</v>
      </c>
      <c r="I43" s="195">
        <v>5289</v>
      </c>
    </row>
    <row r="44" spans="1:9" x14ac:dyDescent="0.2">
      <c r="A44" s="188" t="s">
        <v>411</v>
      </c>
      <c r="B44" s="194">
        <v>3014110</v>
      </c>
      <c r="D44" s="188" t="s">
        <v>429</v>
      </c>
      <c r="E44" s="188" t="s">
        <v>430</v>
      </c>
      <c r="F44" s="188" t="s">
        <v>414</v>
      </c>
      <c r="G44" s="195">
        <v>11541</v>
      </c>
      <c r="I44" s="195">
        <v>11541</v>
      </c>
    </row>
    <row r="45" spans="1:9" x14ac:dyDescent="0.2">
      <c r="A45" s="188" t="s">
        <v>411</v>
      </c>
      <c r="B45" s="194">
        <v>3014110</v>
      </c>
      <c r="D45" s="188" t="s">
        <v>431</v>
      </c>
      <c r="E45" s="188" t="s">
        <v>432</v>
      </c>
      <c r="F45" s="188" t="s">
        <v>414</v>
      </c>
      <c r="G45" s="195">
        <v>83231</v>
      </c>
      <c r="I45" s="195">
        <v>83231</v>
      </c>
    </row>
    <row r="46" spans="1:9" x14ac:dyDescent="0.2">
      <c r="A46" s="188" t="s">
        <v>411</v>
      </c>
      <c r="B46" s="194">
        <v>3014110</v>
      </c>
      <c r="D46" s="188" t="s">
        <v>433</v>
      </c>
      <c r="E46" s="188" t="s">
        <v>434</v>
      </c>
      <c r="F46" s="188" t="s">
        <v>414</v>
      </c>
      <c r="G46" s="195">
        <v>11719</v>
      </c>
      <c r="I46" s="195">
        <v>11719</v>
      </c>
    </row>
    <row r="47" spans="1:9" x14ac:dyDescent="0.2">
      <c r="A47" s="188" t="s">
        <v>411</v>
      </c>
      <c r="B47" s="194">
        <v>3014110</v>
      </c>
      <c r="D47" s="188" t="s">
        <v>435</v>
      </c>
      <c r="E47" s="188" t="s">
        <v>436</v>
      </c>
      <c r="F47" s="188" t="s">
        <v>414</v>
      </c>
      <c r="G47" s="195">
        <v>25277</v>
      </c>
      <c r="I47" s="195">
        <v>25277</v>
      </c>
    </row>
    <row r="48" spans="1:9" x14ac:dyDescent="0.2">
      <c r="A48" s="188" t="s">
        <v>411</v>
      </c>
      <c r="B48" s="194">
        <v>3014110</v>
      </c>
      <c r="D48" s="188" t="s">
        <v>437</v>
      </c>
      <c r="E48" s="188" t="s">
        <v>438</v>
      </c>
      <c r="F48" s="188" t="s">
        <v>414</v>
      </c>
      <c r="G48" s="195">
        <v>3559</v>
      </c>
      <c r="I48" s="195">
        <v>3559</v>
      </c>
    </row>
    <row r="49" spans="1:10" x14ac:dyDescent="0.2">
      <c r="A49" s="188" t="s">
        <v>411</v>
      </c>
      <c r="B49" s="188">
        <v>3014110</v>
      </c>
      <c r="D49" s="188" t="s">
        <v>406</v>
      </c>
      <c r="E49" s="188" t="s">
        <v>407</v>
      </c>
      <c r="F49" s="188" t="s">
        <v>414</v>
      </c>
      <c r="G49" s="195">
        <v>78</v>
      </c>
      <c r="I49" s="195">
        <v>78</v>
      </c>
    </row>
    <row r="50" spans="1:10" x14ac:dyDescent="0.2">
      <c r="A50" s="188" t="s">
        <v>411</v>
      </c>
      <c r="B50" s="194">
        <v>3014110</v>
      </c>
      <c r="D50" s="188" t="s">
        <v>439</v>
      </c>
      <c r="E50" s="188" t="s">
        <v>440</v>
      </c>
      <c r="F50" s="188" t="s">
        <v>414</v>
      </c>
      <c r="G50" s="195">
        <v>15808</v>
      </c>
      <c r="I50" s="195">
        <v>15808</v>
      </c>
    </row>
    <row r="51" spans="1:10" x14ac:dyDescent="0.2">
      <c r="A51" s="188" t="s">
        <v>411</v>
      </c>
      <c r="B51" s="194">
        <v>3014110</v>
      </c>
      <c r="D51" s="188" t="s">
        <v>441</v>
      </c>
      <c r="E51" s="188" t="s">
        <v>442</v>
      </c>
      <c r="F51" s="188" t="s">
        <v>414</v>
      </c>
      <c r="G51" s="195">
        <v>1000</v>
      </c>
      <c r="I51" s="195">
        <v>1000</v>
      </c>
    </row>
    <row r="52" spans="1:10" x14ac:dyDescent="0.2">
      <c r="A52" s="188" t="s">
        <v>411</v>
      </c>
      <c r="B52" s="194">
        <v>3014110</v>
      </c>
      <c r="D52" s="188" t="s">
        <v>443</v>
      </c>
      <c r="E52" s="188" t="s">
        <v>444</v>
      </c>
      <c r="F52" s="188" t="s">
        <v>414</v>
      </c>
      <c r="G52" s="195">
        <v>15345</v>
      </c>
      <c r="I52" s="195">
        <v>15345</v>
      </c>
    </row>
    <row r="53" spans="1:10" x14ac:dyDescent="0.2">
      <c r="A53" s="188" t="s">
        <v>411</v>
      </c>
      <c r="B53" s="194">
        <v>3014110</v>
      </c>
      <c r="D53" s="188" t="s">
        <v>445</v>
      </c>
      <c r="E53" s="188" t="s">
        <v>446</v>
      </c>
      <c r="F53" s="188" t="s">
        <v>414</v>
      </c>
      <c r="G53" s="195">
        <v>123325</v>
      </c>
      <c r="H53" s="190" t="s">
        <v>447</v>
      </c>
      <c r="I53" s="195">
        <v>123325</v>
      </c>
    </row>
    <row r="54" spans="1:10" x14ac:dyDescent="0.2">
      <c r="A54" s="188" t="s">
        <v>411</v>
      </c>
      <c r="B54" s="194">
        <v>3014110</v>
      </c>
      <c r="D54" s="188" t="s">
        <v>448</v>
      </c>
      <c r="E54" s="188" t="s">
        <v>449</v>
      </c>
      <c r="F54" s="188" t="s">
        <v>414</v>
      </c>
      <c r="G54" s="195">
        <v>3500</v>
      </c>
      <c r="I54" s="195">
        <v>3500</v>
      </c>
    </row>
    <row r="55" spans="1:10" x14ac:dyDescent="0.2">
      <c r="A55" s="188" t="s">
        <v>411</v>
      </c>
      <c r="B55" s="194">
        <v>3014110</v>
      </c>
      <c r="D55" s="188" t="s">
        <v>450</v>
      </c>
      <c r="E55" s="188" t="s">
        <v>451</v>
      </c>
      <c r="F55" s="188" t="s">
        <v>414</v>
      </c>
      <c r="G55" s="195">
        <v>10004</v>
      </c>
      <c r="I55" s="195">
        <v>10004</v>
      </c>
    </row>
    <row r="56" spans="1:10" x14ac:dyDescent="0.2">
      <c r="A56" s="188" t="s">
        <v>411</v>
      </c>
      <c r="B56" s="188">
        <v>3014110</v>
      </c>
      <c r="D56" s="188" t="s">
        <v>382</v>
      </c>
      <c r="E56" s="188" t="s">
        <v>383</v>
      </c>
      <c r="F56" s="188" t="s">
        <v>414</v>
      </c>
      <c r="G56" s="195">
        <v>1273</v>
      </c>
      <c r="J56" s="195">
        <v>1273</v>
      </c>
    </row>
    <row r="57" spans="1:10" x14ac:dyDescent="0.2">
      <c r="A57" s="188" t="s">
        <v>411</v>
      </c>
      <c r="B57" s="188">
        <v>3014110</v>
      </c>
      <c r="D57" s="188" t="s">
        <v>452</v>
      </c>
      <c r="E57" s="188" t="s">
        <v>453</v>
      </c>
      <c r="F57" s="188" t="s">
        <v>414</v>
      </c>
      <c r="G57" s="195">
        <v>2</v>
      </c>
      <c r="J57" s="195">
        <v>2</v>
      </c>
    </row>
    <row r="58" spans="1:10" x14ac:dyDescent="0.2">
      <c r="A58" s="188" t="s">
        <v>411</v>
      </c>
      <c r="B58" s="188">
        <v>3014110</v>
      </c>
      <c r="D58" s="188" t="s">
        <v>384</v>
      </c>
      <c r="E58" s="188" t="s">
        <v>385</v>
      </c>
      <c r="F58" s="188" t="s">
        <v>414</v>
      </c>
      <c r="G58" s="195">
        <v>2476</v>
      </c>
      <c r="J58" s="195">
        <v>2476</v>
      </c>
    </row>
    <row r="59" spans="1:10" x14ac:dyDescent="0.2">
      <c r="A59" s="188" t="s">
        <v>411</v>
      </c>
      <c r="B59" s="188">
        <v>3014110</v>
      </c>
      <c r="D59" s="188" t="s">
        <v>386</v>
      </c>
      <c r="E59" s="188" t="s">
        <v>387</v>
      </c>
      <c r="F59" s="188" t="s">
        <v>414</v>
      </c>
      <c r="G59" s="195">
        <v>162</v>
      </c>
      <c r="J59" s="195">
        <v>162</v>
      </c>
    </row>
    <row r="60" spans="1:10" x14ac:dyDescent="0.2">
      <c r="A60" s="188" t="s">
        <v>411</v>
      </c>
      <c r="B60" s="188">
        <v>3014110</v>
      </c>
      <c r="D60" s="188" t="s">
        <v>388</v>
      </c>
      <c r="E60" s="188" t="s">
        <v>389</v>
      </c>
      <c r="F60" s="188" t="s">
        <v>414</v>
      </c>
      <c r="G60" s="195">
        <v>911</v>
      </c>
      <c r="J60" s="195">
        <v>911</v>
      </c>
    </row>
    <row r="61" spans="1:10" x14ac:dyDescent="0.2">
      <c r="A61" s="188" t="s">
        <v>411</v>
      </c>
      <c r="B61" s="188">
        <v>3014110</v>
      </c>
      <c r="D61" s="188" t="s">
        <v>390</v>
      </c>
      <c r="E61" s="188" t="s">
        <v>391</v>
      </c>
      <c r="F61" s="188" t="s">
        <v>414</v>
      </c>
      <c r="G61" s="195">
        <v>1581</v>
      </c>
      <c r="J61" s="195">
        <v>1581</v>
      </c>
    </row>
    <row r="62" spans="1:10" x14ac:dyDescent="0.2">
      <c r="A62" s="188" t="s">
        <v>411</v>
      </c>
      <c r="B62" s="188">
        <v>3014110</v>
      </c>
      <c r="D62" s="188" t="s">
        <v>408</v>
      </c>
      <c r="E62" s="188" t="s">
        <v>409</v>
      </c>
      <c r="F62" s="188" t="s">
        <v>414</v>
      </c>
      <c r="G62" s="195">
        <v>10311</v>
      </c>
      <c r="J62" s="195">
        <v>10311</v>
      </c>
    </row>
    <row r="63" spans="1:10" x14ac:dyDescent="0.2">
      <c r="A63" s="188" t="s">
        <v>411</v>
      </c>
      <c r="B63" s="188">
        <v>3014110</v>
      </c>
      <c r="D63" s="188" t="s">
        <v>454</v>
      </c>
      <c r="E63" s="188" t="s">
        <v>455</v>
      </c>
      <c r="F63" s="188" t="s">
        <v>414</v>
      </c>
      <c r="G63" s="195">
        <v>885</v>
      </c>
      <c r="J63" s="195">
        <v>885</v>
      </c>
    </row>
    <row r="64" spans="1:10" x14ac:dyDescent="0.2">
      <c r="A64" s="188" t="s">
        <v>411</v>
      </c>
      <c r="B64" s="188">
        <v>3014110</v>
      </c>
      <c r="D64" s="188" t="s">
        <v>392</v>
      </c>
      <c r="E64" s="188" t="s">
        <v>393</v>
      </c>
      <c r="F64" s="188" t="s">
        <v>414</v>
      </c>
      <c r="G64" s="195">
        <v>211</v>
      </c>
      <c r="J64" s="195">
        <v>211</v>
      </c>
    </row>
    <row r="65" spans="1:10" x14ac:dyDescent="0.2">
      <c r="A65" s="188" t="s">
        <v>411</v>
      </c>
      <c r="B65" s="188">
        <v>3014110</v>
      </c>
      <c r="D65" s="188" t="s">
        <v>456</v>
      </c>
      <c r="E65" s="188" t="s">
        <v>457</v>
      </c>
      <c r="F65" s="188" t="s">
        <v>414</v>
      </c>
      <c r="G65" s="195">
        <v>7393</v>
      </c>
      <c r="J65" s="195">
        <v>7393</v>
      </c>
    </row>
    <row r="66" spans="1:10" x14ac:dyDescent="0.2">
      <c r="A66" s="188" t="s">
        <v>411</v>
      </c>
      <c r="B66" s="188">
        <v>3014110</v>
      </c>
      <c r="D66" s="188" t="s">
        <v>394</v>
      </c>
      <c r="E66" s="188" t="s">
        <v>395</v>
      </c>
      <c r="F66" s="188" t="s">
        <v>414</v>
      </c>
      <c r="G66" s="195">
        <v>272</v>
      </c>
      <c r="J66" s="195">
        <v>272</v>
      </c>
    </row>
    <row r="67" spans="1:10" x14ac:dyDescent="0.2">
      <c r="A67" s="188" t="s">
        <v>411</v>
      </c>
      <c r="B67" s="188">
        <v>3014110</v>
      </c>
      <c r="D67" s="188" t="s">
        <v>396</v>
      </c>
      <c r="E67" s="188" t="s">
        <v>397</v>
      </c>
      <c r="F67" s="188" t="s">
        <v>414</v>
      </c>
      <c r="G67" s="195">
        <v>77</v>
      </c>
      <c r="J67" s="195">
        <v>77</v>
      </c>
    </row>
    <row r="68" spans="1:10" x14ac:dyDescent="0.2">
      <c r="A68" s="188" t="s">
        <v>458</v>
      </c>
      <c r="B68" s="188">
        <v>3046101</v>
      </c>
      <c r="D68" s="188" t="s">
        <v>386</v>
      </c>
      <c r="E68" s="188" t="s">
        <v>387</v>
      </c>
      <c r="F68" s="188" t="s">
        <v>414</v>
      </c>
      <c r="G68" s="195">
        <v>29</v>
      </c>
      <c r="J68" s="195">
        <v>29</v>
      </c>
    </row>
    <row r="69" spans="1:10" x14ac:dyDescent="0.2">
      <c r="A69" s="188" t="s">
        <v>458</v>
      </c>
      <c r="B69" s="188">
        <v>3046101</v>
      </c>
      <c r="D69" s="188" t="s">
        <v>390</v>
      </c>
      <c r="E69" s="188" t="s">
        <v>391</v>
      </c>
      <c r="F69" s="188" t="s">
        <v>414</v>
      </c>
      <c r="G69" s="195">
        <v>284</v>
      </c>
      <c r="J69" s="195">
        <v>284</v>
      </c>
    </row>
    <row r="70" spans="1:10" x14ac:dyDescent="0.2">
      <c r="A70" s="188" t="s">
        <v>459</v>
      </c>
      <c r="B70" s="194">
        <v>3046102</v>
      </c>
      <c r="D70" s="188" t="s">
        <v>412</v>
      </c>
      <c r="E70" s="188" t="s">
        <v>413</v>
      </c>
      <c r="F70" s="188" t="s">
        <v>414</v>
      </c>
      <c r="G70" s="195">
        <v>203799</v>
      </c>
      <c r="I70" s="195">
        <v>203799</v>
      </c>
    </row>
    <row r="71" spans="1:10" x14ac:dyDescent="0.2">
      <c r="A71" s="188" t="s">
        <v>459</v>
      </c>
      <c r="B71" s="194">
        <v>3046102</v>
      </c>
      <c r="D71" s="188" t="s">
        <v>415</v>
      </c>
      <c r="E71" s="188" t="s">
        <v>416</v>
      </c>
      <c r="F71" s="188" t="s">
        <v>414</v>
      </c>
      <c r="G71" s="195">
        <v>13229</v>
      </c>
      <c r="I71" s="195">
        <v>13229</v>
      </c>
    </row>
    <row r="72" spans="1:10" x14ac:dyDescent="0.2">
      <c r="A72" s="188" t="s">
        <v>459</v>
      </c>
      <c r="B72" s="194">
        <v>3046102</v>
      </c>
      <c r="D72" s="188" t="s">
        <v>417</v>
      </c>
      <c r="E72" s="188" t="s">
        <v>418</v>
      </c>
      <c r="F72" s="188" t="s">
        <v>414</v>
      </c>
      <c r="G72" s="195">
        <v>20914</v>
      </c>
      <c r="I72" s="195">
        <v>20914</v>
      </c>
    </row>
    <row r="73" spans="1:10" x14ac:dyDescent="0.2">
      <c r="A73" s="188" t="s">
        <v>459</v>
      </c>
      <c r="B73" s="194">
        <v>3046102</v>
      </c>
      <c r="D73" s="188" t="s">
        <v>419</v>
      </c>
      <c r="E73" s="188" t="s">
        <v>420</v>
      </c>
      <c r="F73" s="188" t="s">
        <v>414</v>
      </c>
      <c r="G73" s="195">
        <v>76888</v>
      </c>
      <c r="I73" s="195">
        <v>76888</v>
      </c>
    </row>
    <row r="74" spans="1:10" x14ac:dyDescent="0.2">
      <c r="A74" s="188" t="s">
        <v>459</v>
      </c>
      <c r="B74" s="194">
        <v>3046102</v>
      </c>
      <c r="D74" s="188" t="s">
        <v>421</v>
      </c>
      <c r="E74" s="188" t="s">
        <v>422</v>
      </c>
      <c r="F74" s="188" t="s">
        <v>414</v>
      </c>
      <c r="G74" s="195">
        <v>5489</v>
      </c>
      <c r="I74" s="195">
        <v>5489</v>
      </c>
    </row>
    <row r="75" spans="1:10" x14ac:dyDescent="0.2">
      <c r="A75" s="188" t="s">
        <v>459</v>
      </c>
      <c r="B75" s="194">
        <v>3046102</v>
      </c>
      <c r="D75" s="188" t="s">
        <v>423</v>
      </c>
      <c r="E75" s="188" t="s">
        <v>424</v>
      </c>
      <c r="F75" s="188" t="s">
        <v>414</v>
      </c>
      <c r="G75" s="195">
        <v>17478</v>
      </c>
      <c r="I75" s="195">
        <v>17478</v>
      </c>
    </row>
    <row r="76" spans="1:10" x14ac:dyDescent="0.2">
      <c r="A76" s="188" t="s">
        <v>459</v>
      </c>
      <c r="B76" s="194">
        <v>3046102</v>
      </c>
      <c r="D76" s="188" t="s">
        <v>425</v>
      </c>
      <c r="E76" s="188" t="s">
        <v>426</v>
      </c>
      <c r="F76" s="188" t="s">
        <v>414</v>
      </c>
      <c r="G76" s="195">
        <v>149538</v>
      </c>
      <c r="I76" s="195">
        <v>149538</v>
      </c>
    </row>
    <row r="77" spans="1:10" x14ac:dyDescent="0.2">
      <c r="A77" s="188" t="s">
        <v>459</v>
      </c>
      <c r="B77" s="194">
        <v>3046102</v>
      </c>
      <c r="D77" s="188" t="s">
        <v>437</v>
      </c>
      <c r="E77" s="188" t="s">
        <v>438</v>
      </c>
      <c r="F77" s="188" t="s">
        <v>414</v>
      </c>
      <c r="G77" s="195">
        <v>1139</v>
      </c>
      <c r="I77" s="195">
        <v>1139</v>
      </c>
    </row>
    <row r="78" spans="1:10" x14ac:dyDescent="0.2">
      <c r="A78" s="188" t="s">
        <v>459</v>
      </c>
      <c r="B78" s="188">
        <v>3046102</v>
      </c>
      <c r="D78" s="188" t="s">
        <v>406</v>
      </c>
      <c r="E78" s="188" t="s">
        <v>407</v>
      </c>
      <c r="F78" s="188" t="s">
        <v>414</v>
      </c>
      <c r="G78" s="195">
        <v>53</v>
      </c>
      <c r="I78" s="195">
        <v>53</v>
      </c>
    </row>
    <row r="79" spans="1:10" x14ac:dyDescent="0.2">
      <c r="A79" s="188" t="s">
        <v>459</v>
      </c>
      <c r="B79" s="194">
        <v>3046102</v>
      </c>
      <c r="D79" s="188" t="s">
        <v>439</v>
      </c>
      <c r="E79" s="188" t="s">
        <v>440</v>
      </c>
      <c r="F79" s="188" t="s">
        <v>414</v>
      </c>
      <c r="G79" s="195">
        <v>7033.52</v>
      </c>
      <c r="I79" s="195">
        <v>7033.52</v>
      </c>
    </row>
    <row r="80" spans="1:10" x14ac:dyDescent="0.2">
      <c r="A80" s="188" t="s">
        <v>459</v>
      </c>
      <c r="B80" s="194">
        <v>3046102</v>
      </c>
      <c r="D80" s="188" t="s">
        <v>443</v>
      </c>
      <c r="E80" s="188" t="s">
        <v>444</v>
      </c>
      <c r="F80" s="188" t="s">
        <v>414</v>
      </c>
      <c r="G80" s="195">
        <v>7283</v>
      </c>
      <c r="I80" s="195">
        <v>7283</v>
      </c>
    </row>
    <row r="81" spans="1:10" x14ac:dyDescent="0.2">
      <c r="A81" s="188" t="s">
        <v>459</v>
      </c>
      <c r="B81" s="194">
        <v>3046102</v>
      </c>
      <c r="D81" s="188" t="s">
        <v>460</v>
      </c>
      <c r="E81" s="188" t="s">
        <v>461</v>
      </c>
      <c r="F81" s="188" t="s">
        <v>414</v>
      </c>
      <c r="G81" s="195">
        <v>2606</v>
      </c>
      <c r="I81" s="195">
        <v>2606</v>
      </c>
    </row>
    <row r="82" spans="1:10" x14ac:dyDescent="0.2">
      <c r="A82" s="188" t="s">
        <v>459</v>
      </c>
      <c r="B82" s="194">
        <v>3046102</v>
      </c>
      <c r="D82" s="188" t="s">
        <v>462</v>
      </c>
      <c r="E82" s="188" t="s">
        <v>463</v>
      </c>
      <c r="F82" s="188" t="s">
        <v>414</v>
      </c>
      <c r="G82" s="195">
        <v>4441.25</v>
      </c>
      <c r="I82" s="195">
        <v>4441.25</v>
      </c>
    </row>
    <row r="83" spans="1:10" x14ac:dyDescent="0.2">
      <c r="A83" s="188" t="s">
        <v>459</v>
      </c>
      <c r="B83" s="194">
        <v>3046102</v>
      </c>
      <c r="D83" s="188" t="s">
        <v>464</v>
      </c>
      <c r="E83" s="188" t="s">
        <v>465</v>
      </c>
      <c r="F83" s="188" t="s">
        <v>414</v>
      </c>
      <c r="G83" s="195">
        <v>70000</v>
      </c>
      <c r="H83" s="190" t="s">
        <v>466</v>
      </c>
      <c r="I83" s="195">
        <v>70000</v>
      </c>
    </row>
    <row r="84" spans="1:10" x14ac:dyDescent="0.2">
      <c r="A84" s="188" t="s">
        <v>459</v>
      </c>
      <c r="B84" s="188">
        <v>3046102</v>
      </c>
      <c r="D84" s="188" t="s">
        <v>382</v>
      </c>
      <c r="E84" s="188" t="s">
        <v>383</v>
      </c>
      <c r="F84" s="188" t="s">
        <v>414</v>
      </c>
      <c r="G84" s="195">
        <v>1097</v>
      </c>
      <c r="J84" s="195">
        <v>1097</v>
      </c>
    </row>
    <row r="85" spans="1:10" x14ac:dyDescent="0.2">
      <c r="A85" s="188" t="s">
        <v>459</v>
      </c>
      <c r="B85" s="188">
        <v>3046102</v>
      </c>
      <c r="D85" s="188" t="s">
        <v>384</v>
      </c>
      <c r="E85" s="188" t="s">
        <v>385</v>
      </c>
      <c r="F85" s="188" t="s">
        <v>414</v>
      </c>
      <c r="G85" s="195">
        <v>2135</v>
      </c>
      <c r="J85" s="195">
        <v>2135</v>
      </c>
    </row>
    <row r="86" spans="1:10" x14ac:dyDescent="0.2">
      <c r="A86" s="188" t="s">
        <v>459</v>
      </c>
      <c r="B86" s="188">
        <v>3046102</v>
      </c>
      <c r="D86" s="188" t="s">
        <v>386</v>
      </c>
      <c r="E86" s="188" t="s">
        <v>387</v>
      </c>
      <c r="F86" s="188" t="s">
        <v>414</v>
      </c>
      <c r="G86" s="195">
        <v>15</v>
      </c>
      <c r="J86" s="195">
        <v>15</v>
      </c>
    </row>
    <row r="87" spans="1:10" x14ac:dyDescent="0.2">
      <c r="A87" s="188" t="s">
        <v>459</v>
      </c>
      <c r="B87" s="188">
        <v>3046102</v>
      </c>
      <c r="D87" s="188" t="s">
        <v>388</v>
      </c>
      <c r="E87" s="188" t="s">
        <v>389</v>
      </c>
      <c r="F87" s="188" t="s">
        <v>414</v>
      </c>
      <c r="G87" s="195">
        <v>785</v>
      </c>
      <c r="J87" s="195">
        <v>785</v>
      </c>
    </row>
    <row r="88" spans="1:10" x14ac:dyDescent="0.2">
      <c r="A88" s="188" t="s">
        <v>459</v>
      </c>
      <c r="B88" s="188">
        <v>3046102</v>
      </c>
      <c r="D88" s="188" t="s">
        <v>390</v>
      </c>
      <c r="E88" s="188" t="s">
        <v>391</v>
      </c>
      <c r="F88" s="188" t="s">
        <v>414</v>
      </c>
      <c r="G88" s="195">
        <v>142</v>
      </c>
      <c r="J88" s="195">
        <v>142</v>
      </c>
    </row>
    <row r="89" spans="1:10" x14ac:dyDescent="0.2">
      <c r="A89" s="188" t="s">
        <v>459</v>
      </c>
      <c r="B89" s="188">
        <v>3046102</v>
      </c>
      <c r="D89" s="188" t="s">
        <v>408</v>
      </c>
      <c r="E89" s="188" t="s">
        <v>409</v>
      </c>
      <c r="F89" s="188" t="s">
        <v>414</v>
      </c>
      <c r="G89" s="195">
        <v>7015</v>
      </c>
      <c r="J89" s="195">
        <v>7015</v>
      </c>
    </row>
    <row r="90" spans="1:10" x14ac:dyDescent="0.2">
      <c r="A90" s="188" t="s">
        <v>459</v>
      </c>
      <c r="B90" s="188">
        <v>3046102</v>
      </c>
      <c r="D90" s="188" t="s">
        <v>392</v>
      </c>
      <c r="E90" s="188" t="s">
        <v>393</v>
      </c>
      <c r="F90" s="188" t="s">
        <v>414</v>
      </c>
      <c r="G90" s="195">
        <v>182</v>
      </c>
      <c r="J90" s="195">
        <v>182</v>
      </c>
    </row>
    <row r="91" spans="1:10" x14ac:dyDescent="0.2">
      <c r="A91" s="188" t="s">
        <v>459</v>
      </c>
      <c r="B91" s="188">
        <v>3046102</v>
      </c>
      <c r="D91" s="188" t="s">
        <v>456</v>
      </c>
      <c r="E91" s="188" t="s">
        <v>457</v>
      </c>
      <c r="F91" s="188" t="s">
        <v>414</v>
      </c>
      <c r="G91" s="195">
        <v>24260</v>
      </c>
      <c r="J91" s="195">
        <v>24260</v>
      </c>
    </row>
    <row r="92" spans="1:10" x14ac:dyDescent="0.2">
      <c r="A92" s="188" t="s">
        <v>459</v>
      </c>
      <c r="B92" s="188">
        <v>3046102</v>
      </c>
      <c r="D92" s="188" t="s">
        <v>394</v>
      </c>
      <c r="E92" s="188" t="s">
        <v>395</v>
      </c>
      <c r="F92" s="188" t="s">
        <v>414</v>
      </c>
      <c r="G92" s="195">
        <v>235</v>
      </c>
      <c r="J92" s="195">
        <v>235</v>
      </c>
    </row>
    <row r="93" spans="1:10" x14ac:dyDescent="0.2">
      <c r="A93" s="188" t="s">
        <v>459</v>
      </c>
      <c r="B93" s="188">
        <v>3046102</v>
      </c>
      <c r="D93" s="188" t="s">
        <v>396</v>
      </c>
      <c r="E93" s="188" t="s">
        <v>397</v>
      </c>
      <c r="F93" s="188" t="s">
        <v>414</v>
      </c>
      <c r="G93" s="195">
        <v>66</v>
      </c>
      <c r="J93" s="195">
        <v>66</v>
      </c>
    </row>
    <row r="94" spans="1:10" x14ac:dyDescent="0.2">
      <c r="A94" s="188" t="s">
        <v>467</v>
      </c>
      <c r="B94" s="188">
        <v>3014110</v>
      </c>
      <c r="G94" s="195">
        <v>-229000</v>
      </c>
      <c r="H94" s="190" t="s">
        <v>468</v>
      </c>
      <c r="I94" s="195">
        <v>-229000</v>
      </c>
    </row>
    <row r="95" spans="1:10" x14ac:dyDescent="0.2">
      <c r="A95" s="188" t="s">
        <v>469</v>
      </c>
      <c r="B95" s="188">
        <v>3046103</v>
      </c>
      <c r="G95" s="195">
        <v>391000</v>
      </c>
      <c r="I95" s="195">
        <v>391000</v>
      </c>
    </row>
    <row r="96" spans="1:10" x14ac:dyDescent="0.2">
      <c r="G96" s="195"/>
    </row>
    <row r="97" spans="1:10" x14ac:dyDescent="0.2">
      <c r="G97" s="195">
        <v>1416795.77</v>
      </c>
    </row>
    <row r="99" spans="1:10" x14ac:dyDescent="0.2">
      <c r="A99" s="242" t="s">
        <v>470</v>
      </c>
      <c r="B99" s="192"/>
      <c r="C99" s="192"/>
      <c r="D99" s="192"/>
      <c r="E99" s="192"/>
      <c r="F99" s="192"/>
      <c r="G99" s="193">
        <v>446406.56429271249</v>
      </c>
    </row>
    <row r="101" spans="1:10" x14ac:dyDescent="0.2">
      <c r="A101" s="188" t="s">
        <v>471</v>
      </c>
      <c r="B101" s="188">
        <v>3011202</v>
      </c>
      <c r="D101" s="188" t="s">
        <v>406</v>
      </c>
      <c r="E101" s="188" t="s">
        <v>407</v>
      </c>
      <c r="F101" s="188" t="s">
        <v>472</v>
      </c>
      <c r="G101" s="195">
        <v>2</v>
      </c>
      <c r="I101" s="195">
        <v>2</v>
      </c>
    </row>
    <row r="102" spans="1:10" x14ac:dyDescent="0.2">
      <c r="A102" s="188" t="s">
        <v>471</v>
      </c>
      <c r="B102" s="194">
        <v>3011202</v>
      </c>
      <c r="D102" s="188" t="s">
        <v>377</v>
      </c>
      <c r="E102" s="188" t="s">
        <v>378</v>
      </c>
      <c r="F102" s="188" t="s">
        <v>472</v>
      </c>
      <c r="G102" s="195">
        <v>94840</v>
      </c>
      <c r="H102" s="190" t="s">
        <v>466</v>
      </c>
      <c r="I102" s="195">
        <v>94840</v>
      </c>
    </row>
    <row r="103" spans="1:10" ht="25.5" x14ac:dyDescent="0.2">
      <c r="A103" s="188" t="s">
        <v>471</v>
      </c>
      <c r="B103" s="194">
        <v>3011202</v>
      </c>
      <c r="D103" s="188" t="s">
        <v>380</v>
      </c>
      <c r="E103" s="188" t="s">
        <v>381</v>
      </c>
      <c r="F103" s="188" t="s">
        <v>472</v>
      </c>
      <c r="G103" s="195">
        <v>5358</v>
      </c>
      <c r="H103" s="190" t="s">
        <v>473</v>
      </c>
      <c r="I103" s="195">
        <v>5358</v>
      </c>
    </row>
    <row r="104" spans="1:10" x14ac:dyDescent="0.2">
      <c r="A104" s="188" t="s">
        <v>471</v>
      </c>
      <c r="B104" s="188">
        <v>3011202</v>
      </c>
      <c r="D104" s="188" t="s">
        <v>382</v>
      </c>
      <c r="E104" s="188" t="s">
        <v>383</v>
      </c>
      <c r="F104" s="188" t="s">
        <v>472</v>
      </c>
      <c r="G104" s="195">
        <v>368</v>
      </c>
      <c r="J104" s="195">
        <v>368</v>
      </c>
    </row>
    <row r="105" spans="1:10" x14ac:dyDescent="0.2">
      <c r="A105" s="188" t="s">
        <v>471</v>
      </c>
      <c r="B105" s="188">
        <v>3011202</v>
      </c>
      <c r="D105" s="188" t="s">
        <v>384</v>
      </c>
      <c r="E105" s="188" t="s">
        <v>385</v>
      </c>
      <c r="F105" s="188" t="s">
        <v>472</v>
      </c>
      <c r="G105" s="195">
        <v>716</v>
      </c>
      <c r="J105" s="195">
        <v>716</v>
      </c>
    </row>
    <row r="106" spans="1:10" x14ac:dyDescent="0.2">
      <c r="A106" s="188" t="s">
        <v>471</v>
      </c>
      <c r="B106" s="188">
        <v>3011202</v>
      </c>
      <c r="D106" s="188" t="s">
        <v>388</v>
      </c>
      <c r="E106" s="188" t="s">
        <v>389</v>
      </c>
      <c r="F106" s="188" t="s">
        <v>472</v>
      </c>
      <c r="G106" s="195">
        <v>263</v>
      </c>
      <c r="J106" s="195">
        <v>263</v>
      </c>
    </row>
    <row r="107" spans="1:10" x14ac:dyDescent="0.2">
      <c r="A107" s="188" t="s">
        <v>471</v>
      </c>
      <c r="B107" s="188">
        <v>3011202</v>
      </c>
      <c r="D107" s="188" t="s">
        <v>390</v>
      </c>
      <c r="E107" s="188" t="s">
        <v>391</v>
      </c>
      <c r="F107" s="188" t="s">
        <v>472</v>
      </c>
      <c r="G107" s="195">
        <v>1</v>
      </c>
      <c r="J107" s="195">
        <v>1</v>
      </c>
    </row>
    <row r="108" spans="1:10" x14ac:dyDescent="0.2">
      <c r="A108" s="188" t="s">
        <v>471</v>
      </c>
      <c r="B108" s="188">
        <v>3011202</v>
      </c>
      <c r="D108" s="188" t="s">
        <v>408</v>
      </c>
      <c r="E108" s="188" t="s">
        <v>409</v>
      </c>
      <c r="F108" s="188" t="s">
        <v>472</v>
      </c>
      <c r="G108" s="195">
        <v>326</v>
      </c>
      <c r="J108" s="195">
        <v>326</v>
      </c>
    </row>
    <row r="109" spans="1:10" x14ac:dyDescent="0.2">
      <c r="A109" s="188" t="s">
        <v>471</v>
      </c>
      <c r="B109" s="188">
        <v>3011202</v>
      </c>
      <c r="D109" s="188" t="s">
        <v>392</v>
      </c>
      <c r="E109" s="188" t="s">
        <v>393</v>
      </c>
      <c r="F109" s="188" t="s">
        <v>472</v>
      </c>
      <c r="G109" s="195">
        <v>61</v>
      </c>
      <c r="J109" s="195">
        <v>61</v>
      </c>
    </row>
    <row r="110" spans="1:10" x14ac:dyDescent="0.2">
      <c r="A110" s="188" t="s">
        <v>471</v>
      </c>
      <c r="B110" s="188">
        <v>3011202</v>
      </c>
      <c r="D110" s="188" t="s">
        <v>394</v>
      </c>
      <c r="E110" s="188" t="s">
        <v>395</v>
      </c>
      <c r="F110" s="188" t="s">
        <v>472</v>
      </c>
      <c r="G110" s="195">
        <v>79</v>
      </c>
      <c r="J110" s="195">
        <v>79</v>
      </c>
    </row>
    <row r="111" spans="1:10" x14ac:dyDescent="0.2">
      <c r="A111" s="188" t="s">
        <v>471</v>
      </c>
      <c r="B111" s="188">
        <v>3011202</v>
      </c>
      <c r="D111" s="188" t="s">
        <v>396</v>
      </c>
      <c r="E111" s="188" t="s">
        <v>397</v>
      </c>
      <c r="F111" s="188" t="s">
        <v>472</v>
      </c>
      <c r="G111" s="195">
        <v>22</v>
      </c>
      <c r="J111" s="195">
        <v>22</v>
      </c>
    </row>
    <row r="112" spans="1:10" ht="25.5" x14ac:dyDescent="0.2">
      <c r="A112" s="188" t="s">
        <v>471</v>
      </c>
      <c r="B112" s="194">
        <v>3011202</v>
      </c>
      <c r="D112" s="188" t="s">
        <v>403</v>
      </c>
      <c r="E112" s="188" t="s">
        <v>404</v>
      </c>
      <c r="F112" s="188" t="s">
        <v>474</v>
      </c>
      <c r="G112" s="195">
        <v>77068</v>
      </c>
      <c r="H112" s="190" t="s">
        <v>473</v>
      </c>
      <c r="I112" s="195">
        <v>77068</v>
      </c>
    </row>
    <row r="113" spans="1:9" x14ac:dyDescent="0.2">
      <c r="A113" s="188" t="s">
        <v>475</v>
      </c>
      <c r="B113" s="196"/>
      <c r="D113" s="196"/>
      <c r="F113" s="188" t="s">
        <v>345</v>
      </c>
      <c r="G113" s="195">
        <v>26909</v>
      </c>
      <c r="I113" s="195">
        <v>26909</v>
      </c>
    </row>
    <row r="114" spans="1:9" x14ac:dyDescent="0.2">
      <c r="A114" s="188" t="s">
        <v>476</v>
      </c>
      <c r="B114" s="196">
        <v>3013101</v>
      </c>
      <c r="D114" s="196"/>
      <c r="F114" s="188" t="s">
        <v>345</v>
      </c>
      <c r="G114" s="195">
        <v>45612</v>
      </c>
      <c r="I114" s="195">
        <v>45612</v>
      </c>
    </row>
    <row r="115" spans="1:9" x14ac:dyDescent="0.2">
      <c r="A115" s="188" t="s">
        <v>477</v>
      </c>
      <c r="B115" s="196">
        <v>3013101</v>
      </c>
      <c r="D115" s="196"/>
      <c r="F115" s="188" t="s">
        <v>345</v>
      </c>
      <c r="G115" s="195">
        <v>121509</v>
      </c>
      <c r="I115" s="195">
        <v>121509</v>
      </c>
    </row>
    <row r="116" spans="1:9" x14ac:dyDescent="0.2">
      <c r="A116" s="188" t="s">
        <v>478</v>
      </c>
      <c r="B116" s="196">
        <v>3013101</v>
      </c>
      <c r="D116" s="196"/>
      <c r="F116" s="188" t="s">
        <v>345</v>
      </c>
      <c r="G116" s="195">
        <v>28737</v>
      </c>
      <c r="I116" s="195">
        <v>28737</v>
      </c>
    </row>
    <row r="117" spans="1:9" x14ac:dyDescent="0.2">
      <c r="A117" s="188" t="s">
        <v>479</v>
      </c>
      <c r="B117" s="196"/>
      <c r="D117" s="196"/>
      <c r="F117" s="188" t="s">
        <v>345</v>
      </c>
      <c r="G117" s="195">
        <v>26326</v>
      </c>
      <c r="I117" s="195">
        <v>26326</v>
      </c>
    </row>
    <row r="118" spans="1:9" x14ac:dyDescent="0.2">
      <c r="A118" s="188" t="s">
        <v>480</v>
      </c>
      <c r="B118" s="196"/>
      <c r="D118" s="196"/>
      <c r="F118" s="188" t="s">
        <v>345</v>
      </c>
      <c r="G118" s="195">
        <v>15020</v>
      </c>
      <c r="I118" s="195">
        <v>15020</v>
      </c>
    </row>
    <row r="119" spans="1:9" x14ac:dyDescent="0.2">
      <c r="A119" s="188" t="s">
        <v>481</v>
      </c>
      <c r="B119" s="196"/>
      <c r="D119" s="196"/>
      <c r="F119" s="188" t="s">
        <v>345</v>
      </c>
      <c r="G119" s="195">
        <v>3190</v>
      </c>
      <c r="I119" s="195">
        <v>3190</v>
      </c>
    </row>
    <row r="121" spans="1:9" x14ac:dyDescent="0.2">
      <c r="G121" s="195">
        <v>446407</v>
      </c>
    </row>
    <row r="122" spans="1:9" x14ac:dyDescent="0.2">
      <c r="G122" s="195"/>
    </row>
    <row r="123" spans="1:9" x14ac:dyDescent="0.2">
      <c r="A123" s="191" t="s">
        <v>482</v>
      </c>
      <c r="B123" s="192"/>
      <c r="C123" s="192"/>
      <c r="D123" s="192"/>
      <c r="E123" s="192"/>
      <c r="F123" s="192"/>
      <c r="G123" s="197">
        <v>-175913.91999999993</v>
      </c>
    </row>
    <row r="124" spans="1:9" x14ac:dyDescent="0.2">
      <c r="G124" s="195"/>
    </row>
    <row r="125" spans="1:9" x14ac:dyDescent="0.2">
      <c r="A125" s="188" t="s">
        <v>483</v>
      </c>
      <c r="B125" s="194">
        <v>3023204</v>
      </c>
      <c r="D125" s="188" t="s">
        <v>484</v>
      </c>
      <c r="E125" s="188" t="s">
        <v>485</v>
      </c>
      <c r="F125" s="188" t="s">
        <v>486</v>
      </c>
      <c r="G125" s="195">
        <v>-175913.91999999993</v>
      </c>
      <c r="I125" s="195">
        <v>-175913.91999999993</v>
      </c>
    </row>
    <row r="127" spans="1:9" x14ac:dyDescent="0.2">
      <c r="A127" s="242" t="s">
        <v>487</v>
      </c>
      <c r="B127" s="192"/>
      <c r="C127" s="192"/>
      <c r="D127" s="192"/>
      <c r="E127" s="192"/>
      <c r="F127" s="192"/>
      <c r="G127" s="193">
        <v>231347</v>
      </c>
    </row>
    <row r="129" spans="1:14" x14ac:dyDescent="0.2">
      <c r="A129" s="188" t="s">
        <v>488</v>
      </c>
      <c r="B129" s="194">
        <v>3011101</v>
      </c>
      <c r="D129" s="188" t="s">
        <v>412</v>
      </c>
      <c r="E129" s="188" t="s">
        <v>413</v>
      </c>
      <c r="F129" s="188" t="s">
        <v>489</v>
      </c>
      <c r="G129" s="195">
        <v>40478</v>
      </c>
      <c r="I129" s="195">
        <v>40478</v>
      </c>
      <c r="L129" s="200" t="s">
        <v>577</v>
      </c>
      <c r="M129" s="195">
        <v>37615</v>
      </c>
      <c r="N129" s="192" t="s">
        <v>578</v>
      </c>
    </row>
    <row r="130" spans="1:14" x14ac:dyDescent="0.2">
      <c r="A130" s="188" t="s">
        <v>488</v>
      </c>
      <c r="B130" s="194">
        <v>3011101</v>
      </c>
      <c r="D130" s="188" t="s">
        <v>415</v>
      </c>
      <c r="E130" s="188" t="s">
        <v>416</v>
      </c>
      <c r="F130" s="188" t="s">
        <v>489</v>
      </c>
      <c r="G130" s="195">
        <v>1423</v>
      </c>
      <c r="I130" s="195">
        <v>1423</v>
      </c>
      <c r="L130" s="200" t="s">
        <v>577</v>
      </c>
      <c r="M130" s="195">
        <v>1423</v>
      </c>
      <c r="N130" s="192" t="s">
        <v>578</v>
      </c>
    </row>
    <row r="131" spans="1:14" x14ac:dyDescent="0.2">
      <c r="A131" s="188" t="s">
        <v>488</v>
      </c>
      <c r="B131" s="194">
        <v>3011101</v>
      </c>
      <c r="D131" s="188" t="s">
        <v>417</v>
      </c>
      <c r="E131" s="188" t="s">
        <v>418</v>
      </c>
      <c r="F131" s="188" t="s">
        <v>489</v>
      </c>
      <c r="G131" s="195">
        <v>9062</v>
      </c>
      <c r="I131" s="195">
        <v>9062</v>
      </c>
      <c r="L131" s="200" t="s">
        <v>577</v>
      </c>
      <c r="M131" s="195">
        <v>9062</v>
      </c>
      <c r="N131" s="192" t="s">
        <v>578</v>
      </c>
    </row>
    <row r="132" spans="1:14" x14ac:dyDescent="0.2">
      <c r="A132" s="188" t="s">
        <v>488</v>
      </c>
      <c r="B132" s="194">
        <v>3011101</v>
      </c>
      <c r="D132" s="188" t="s">
        <v>490</v>
      </c>
      <c r="E132" s="188" t="s">
        <v>491</v>
      </c>
      <c r="F132" s="188" t="s">
        <v>489</v>
      </c>
      <c r="G132" s="195">
        <v>773</v>
      </c>
      <c r="I132" s="195">
        <v>773</v>
      </c>
      <c r="L132" s="200" t="s">
        <v>577</v>
      </c>
      <c r="M132" s="195"/>
    </row>
    <row r="133" spans="1:14" x14ac:dyDescent="0.2">
      <c r="A133" s="188" t="s">
        <v>488</v>
      </c>
      <c r="B133" s="194">
        <v>3011101</v>
      </c>
      <c r="D133" s="188" t="s">
        <v>437</v>
      </c>
      <c r="E133" s="188" t="s">
        <v>438</v>
      </c>
      <c r="F133" s="188" t="s">
        <v>489</v>
      </c>
      <c r="G133" s="195">
        <v>4759</v>
      </c>
      <c r="I133" s="195">
        <v>4759</v>
      </c>
      <c r="L133" s="200" t="s">
        <v>577</v>
      </c>
      <c r="M133" s="195"/>
    </row>
    <row r="134" spans="1:14" x14ac:dyDescent="0.2">
      <c r="A134" s="188" t="s">
        <v>488</v>
      </c>
      <c r="B134" s="188">
        <v>3011101</v>
      </c>
      <c r="D134" s="188" t="s">
        <v>406</v>
      </c>
      <c r="E134" s="188" t="s">
        <v>407</v>
      </c>
      <c r="F134" s="188" t="s">
        <v>489</v>
      </c>
      <c r="G134" s="195">
        <v>12</v>
      </c>
      <c r="I134" s="195">
        <v>12</v>
      </c>
      <c r="L134" s="200" t="s">
        <v>577</v>
      </c>
      <c r="M134" s="195"/>
    </row>
    <row r="135" spans="1:14" x14ac:dyDescent="0.2">
      <c r="A135" s="188" t="s">
        <v>488</v>
      </c>
      <c r="B135" s="194">
        <v>3011101</v>
      </c>
      <c r="D135" s="188" t="s">
        <v>443</v>
      </c>
      <c r="E135" s="188" t="s">
        <v>444</v>
      </c>
      <c r="F135" s="188" t="s">
        <v>489</v>
      </c>
      <c r="G135" s="195">
        <v>897</v>
      </c>
      <c r="I135" s="195">
        <v>897</v>
      </c>
      <c r="L135" s="200" t="s">
        <v>577</v>
      </c>
      <c r="M135" s="195"/>
    </row>
    <row r="136" spans="1:14" x14ac:dyDescent="0.2">
      <c r="A136" s="188" t="s">
        <v>488</v>
      </c>
      <c r="B136" s="194">
        <v>3011101</v>
      </c>
      <c r="D136" s="188" t="s">
        <v>460</v>
      </c>
      <c r="E136" s="188" t="s">
        <v>461</v>
      </c>
      <c r="F136" s="188" t="s">
        <v>489</v>
      </c>
      <c r="G136" s="195">
        <v>2459</v>
      </c>
      <c r="I136" s="195">
        <v>2459</v>
      </c>
      <c r="L136" s="200" t="s">
        <v>577</v>
      </c>
      <c r="M136" s="195"/>
    </row>
    <row r="137" spans="1:14" x14ac:dyDescent="0.2">
      <c r="A137" s="188" t="s">
        <v>488</v>
      </c>
      <c r="B137" s="194">
        <v>3011101</v>
      </c>
      <c r="D137" s="188" t="s">
        <v>492</v>
      </c>
      <c r="E137" s="188" t="s">
        <v>493</v>
      </c>
      <c r="F137" s="188" t="s">
        <v>489</v>
      </c>
      <c r="G137" s="195">
        <v>5000</v>
      </c>
      <c r="I137" s="195">
        <v>5000</v>
      </c>
      <c r="L137" s="200" t="s">
        <v>577</v>
      </c>
      <c r="M137" s="195"/>
    </row>
    <row r="138" spans="1:14" x14ac:dyDescent="0.2">
      <c r="A138" s="188" t="s">
        <v>488</v>
      </c>
      <c r="B138" s="194">
        <v>3011101</v>
      </c>
      <c r="D138" s="188" t="s">
        <v>494</v>
      </c>
      <c r="E138" s="188" t="s">
        <v>495</v>
      </c>
      <c r="F138" s="188" t="s">
        <v>489</v>
      </c>
      <c r="G138" s="195">
        <v>196</v>
      </c>
      <c r="I138" s="195">
        <v>196</v>
      </c>
      <c r="L138" s="200" t="s">
        <v>577</v>
      </c>
      <c r="M138" s="195"/>
    </row>
    <row r="139" spans="1:14" x14ac:dyDescent="0.2">
      <c r="A139" s="188" t="s">
        <v>488</v>
      </c>
      <c r="B139" s="194">
        <v>3011101</v>
      </c>
      <c r="D139" s="188" t="s">
        <v>496</v>
      </c>
      <c r="E139" s="188" t="s">
        <v>497</v>
      </c>
      <c r="F139" s="188" t="s">
        <v>489</v>
      </c>
      <c r="G139" s="195">
        <v>418</v>
      </c>
      <c r="I139" s="195">
        <v>418</v>
      </c>
      <c r="L139" s="200" t="s">
        <v>577</v>
      </c>
      <c r="M139" s="195"/>
    </row>
    <row r="140" spans="1:14" x14ac:dyDescent="0.2">
      <c r="A140" s="188" t="s">
        <v>488</v>
      </c>
      <c r="B140" s="194">
        <v>3011101</v>
      </c>
      <c r="D140" s="188" t="s">
        <v>498</v>
      </c>
      <c r="E140" s="188" t="s">
        <v>499</v>
      </c>
      <c r="F140" s="188" t="s">
        <v>489</v>
      </c>
      <c r="G140" s="195">
        <v>2327</v>
      </c>
      <c r="I140" s="195">
        <v>2327</v>
      </c>
      <c r="L140" s="200" t="s">
        <v>577</v>
      </c>
      <c r="M140" s="195"/>
    </row>
    <row r="141" spans="1:14" x14ac:dyDescent="0.2">
      <c r="A141" s="188" t="s">
        <v>488</v>
      </c>
      <c r="B141" s="194">
        <v>3011101</v>
      </c>
      <c r="D141" s="188" t="s">
        <v>500</v>
      </c>
      <c r="E141" s="188" t="s">
        <v>501</v>
      </c>
      <c r="F141" s="188" t="s">
        <v>489</v>
      </c>
      <c r="G141" s="195">
        <v>87</v>
      </c>
      <c r="I141" s="195">
        <v>87</v>
      </c>
      <c r="L141" s="200" t="s">
        <v>577</v>
      </c>
      <c r="M141" s="195"/>
    </row>
    <row r="142" spans="1:14" x14ac:dyDescent="0.2">
      <c r="A142" s="188" t="s">
        <v>488</v>
      </c>
      <c r="B142" s="188">
        <v>3011101</v>
      </c>
      <c r="D142" s="188" t="s">
        <v>382</v>
      </c>
      <c r="E142" s="188" t="s">
        <v>383</v>
      </c>
      <c r="F142" s="188" t="s">
        <v>489</v>
      </c>
      <c r="G142" s="195">
        <v>143</v>
      </c>
      <c r="I142" s="195"/>
      <c r="J142" s="195">
        <v>143</v>
      </c>
      <c r="L142" s="200" t="s">
        <v>577</v>
      </c>
      <c r="M142" s="195">
        <v>101.31387076342962</v>
      </c>
      <c r="N142" s="200"/>
    </row>
    <row r="143" spans="1:14" x14ac:dyDescent="0.2">
      <c r="A143" s="188" t="s">
        <v>488</v>
      </c>
      <c r="B143" s="188">
        <v>3011101</v>
      </c>
      <c r="D143" s="188" t="s">
        <v>452</v>
      </c>
      <c r="E143" s="188" t="s">
        <v>453</v>
      </c>
      <c r="F143" s="188" t="s">
        <v>489</v>
      </c>
      <c r="G143" s="195">
        <v>1</v>
      </c>
      <c r="J143" s="195">
        <v>1</v>
      </c>
      <c r="L143" s="200" t="s">
        <v>577</v>
      </c>
      <c r="M143" s="195">
        <v>0.7084886067372701</v>
      </c>
    </row>
    <row r="144" spans="1:14" x14ac:dyDescent="0.2">
      <c r="A144" s="188" t="s">
        <v>488</v>
      </c>
      <c r="B144" s="188">
        <v>3011101</v>
      </c>
      <c r="D144" s="188" t="s">
        <v>384</v>
      </c>
      <c r="E144" s="188" t="s">
        <v>385</v>
      </c>
      <c r="F144" s="188" t="s">
        <v>489</v>
      </c>
      <c r="G144" s="195">
        <v>278</v>
      </c>
      <c r="J144" s="195">
        <v>278</v>
      </c>
      <c r="L144" s="200" t="s">
        <v>577</v>
      </c>
      <c r="M144" s="195">
        <v>196.95983267296108</v>
      </c>
    </row>
    <row r="145" spans="1:14" x14ac:dyDescent="0.2">
      <c r="A145" s="188" t="s">
        <v>488</v>
      </c>
      <c r="B145" s="188">
        <v>3011101</v>
      </c>
      <c r="D145" s="188" t="s">
        <v>386</v>
      </c>
      <c r="E145" s="188" t="s">
        <v>387</v>
      </c>
      <c r="F145" s="188" t="s">
        <v>489</v>
      </c>
      <c r="G145" s="195">
        <v>15</v>
      </c>
      <c r="J145" s="195">
        <v>15</v>
      </c>
      <c r="L145" s="200" t="s">
        <v>577</v>
      </c>
      <c r="M145" s="195">
        <v>10.62732910105905</v>
      </c>
    </row>
    <row r="146" spans="1:14" x14ac:dyDescent="0.2">
      <c r="A146" s="188" t="s">
        <v>488</v>
      </c>
      <c r="B146" s="188">
        <v>3011101</v>
      </c>
      <c r="D146" s="188" t="s">
        <v>388</v>
      </c>
      <c r="E146" s="188" t="s">
        <v>389</v>
      </c>
      <c r="F146" s="188" t="s">
        <v>489</v>
      </c>
      <c r="G146" s="195">
        <v>102</v>
      </c>
      <c r="J146" s="195">
        <v>102</v>
      </c>
      <c r="L146" s="200" t="s">
        <v>577</v>
      </c>
      <c r="M146" s="195">
        <v>72.265837887201542</v>
      </c>
    </row>
    <row r="147" spans="1:14" x14ac:dyDescent="0.2">
      <c r="A147" s="188" t="s">
        <v>488</v>
      </c>
      <c r="B147" s="188">
        <v>3011101</v>
      </c>
      <c r="D147" s="188" t="s">
        <v>390</v>
      </c>
      <c r="E147" s="188" t="s">
        <v>391</v>
      </c>
      <c r="F147" s="188" t="s">
        <v>489</v>
      </c>
      <c r="G147" s="195">
        <v>142</v>
      </c>
      <c r="J147" s="195">
        <v>142</v>
      </c>
      <c r="L147" s="200" t="s">
        <v>577</v>
      </c>
      <c r="M147" s="195">
        <v>100.60538215669234</v>
      </c>
    </row>
    <row r="148" spans="1:14" x14ac:dyDescent="0.2">
      <c r="A148" s="188" t="s">
        <v>488</v>
      </c>
      <c r="B148" s="188">
        <v>3011101</v>
      </c>
      <c r="D148" s="188" t="s">
        <v>408</v>
      </c>
      <c r="E148" s="188" t="s">
        <v>409</v>
      </c>
      <c r="F148" s="188" t="s">
        <v>489</v>
      </c>
      <c r="G148" s="195">
        <v>1630</v>
      </c>
      <c r="J148" s="195">
        <v>1630</v>
      </c>
      <c r="L148" s="200" t="s">
        <v>577</v>
      </c>
      <c r="M148" s="195">
        <v>1154.83642898175</v>
      </c>
    </row>
    <row r="149" spans="1:14" x14ac:dyDescent="0.2">
      <c r="A149" s="188" t="s">
        <v>488</v>
      </c>
      <c r="B149" s="188">
        <v>3011101</v>
      </c>
      <c r="D149" s="188" t="s">
        <v>392</v>
      </c>
      <c r="E149" s="188" t="s">
        <v>393</v>
      </c>
      <c r="F149" s="188" t="s">
        <v>489</v>
      </c>
      <c r="G149" s="195">
        <v>24</v>
      </c>
      <c r="J149" s="195">
        <v>24</v>
      </c>
      <c r="L149" s="200" t="s">
        <v>577</v>
      </c>
      <c r="M149" s="195">
        <v>17.003726561694481</v>
      </c>
    </row>
    <row r="150" spans="1:14" x14ac:dyDescent="0.2">
      <c r="A150" s="188" t="s">
        <v>488</v>
      </c>
      <c r="B150" s="188">
        <v>3011101</v>
      </c>
      <c r="D150" s="188" t="s">
        <v>456</v>
      </c>
      <c r="E150" s="188" t="s">
        <v>457</v>
      </c>
      <c r="F150" s="188" t="s">
        <v>489</v>
      </c>
      <c r="G150" s="195">
        <v>11452</v>
      </c>
      <c r="J150" s="195">
        <v>11452</v>
      </c>
      <c r="L150" s="200" t="s">
        <v>577</v>
      </c>
      <c r="M150" s="195">
        <v>6582.6115243552167</v>
      </c>
      <c r="N150" s="200" t="s">
        <v>579</v>
      </c>
    </row>
    <row r="151" spans="1:14" x14ac:dyDescent="0.2">
      <c r="A151" s="188" t="s">
        <v>488</v>
      </c>
      <c r="B151" s="188">
        <v>3011101</v>
      </c>
      <c r="D151" s="188" t="s">
        <v>394</v>
      </c>
      <c r="E151" s="188" t="s">
        <v>395</v>
      </c>
      <c r="F151" s="188" t="s">
        <v>489</v>
      </c>
      <c r="G151" s="195">
        <v>31</v>
      </c>
      <c r="J151" s="195">
        <v>31</v>
      </c>
      <c r="L151" s="200" t="s">
        <v>577</v>
      </c>
      <c r="M151" s="195">
        <v>21.96314680885537</v>
      </c>
    </row>
    <row r="152" spans="1:14" x14ac:dyDescent="0.2">
      <c r="A152" s="188" t="s">
        <v>488</v>
      </c>
      <c r="B152" s="188">
        <v>3011101</v>
      </c>
      <c r="D152" s="188" t="s">
        <v>396</v>
      </c>
      <c r="E152" s="188" t="s">
        <v>397</v>
      </c>
      <c r="F152" s="188" t="s">
        <v>489</v>
      </c>
      <c r="G152" s="195">
        <v>9</v>
      </c>
      <c r="J152" s="195">
        <v>9</v>
      </c>
      <c r="L152" s="200" t="s">
        <v>577</v>
      </c>
      <c r="M152" s="195">
        <v>6.3763974606354301</v>
      </c>
    </row>
    <row r="153" spans="1:14" ht="13.5" thickBot="1" x14ac:dyDescent="0.25">
      <c r="A153" s="188" t="s">
        <v>502</v>
      </c>
      <c r="B153" s="194">
        <v>3011203</v>
      </c>
      <c r="D153" s="188" t="s">
        <v>503</v>
      </c>
      <c r="E153" s="188" t="s">
        <v>504</v>
      </c>
      <c r="F153" s="188" t="s">
        <v>489</v>
      </c>
      <c r="G153" s="195">
        <v>-55067</v>
      </c>
      <c r="I153" s="195">
        <v>-55067</v>
      </c>
      <c r="J153" s="195"/>
      <c r="M153" s="201">
        <v>56365.271965356224</v>
      </c>
    </row>
    <row r="154" spans="1:14" ht="13.5" thickTop="1" x14ac:dyDescent="0.2">
      <c r="A154" s="188" t="s">
        <v>502</v>
      </c>
      <c r="B154" s="188">
        <v>3011203</v>
      </c>
      <c r="D154" s="188" t="s">
        <v>382</v>
      </c>
      <c r="E154" s="188" t="s">
        <v>383</v>
      </c>
      <c r="F154" s="188" t="s">
        <v>489</v>
      </c>
      <c r="G154" s="195">
        <v>114</v>
      </c>
      <c r="J154" s="195">
        <v>114</v>
      </c>
    </row>
    <row r="155" spans="1:14" x14ac:dyDescent="0.2">
      <c r="A155" s="188" t="s">
        <v>502</v>
      </c>
      <c r="B155" s="188">
        <v>3011203</v>
      </c>
      <c r="D155" s="188" t="s">
        <v>384</v>
      </c>
      <c r="E155" s="188" t="s">
        <v>385</v>
      </c>
      <c r="F155" s="188" t="s">
        <v>489</v>
      </c>
      <c r="G155" s="195">
        <v>222</v>
      </c>
      <c r="J155" s="195">
        <v>222</v>
      </c>
    </row>
    <row r="156" spans="1:14" x14ac:dyDescent="0.2">
      <c r="A156" s="188" t="s">
        <v>502</v>
      </c>
      <c r="B156" s="188">
        <v>3011203</v>
      </c>
      <c r="D156" s="188" t="s">
        <v>388</v>
      </c>
      <c r="E156" s="188" t="s">
        <v>389</v>
      </c>
      <c r="F156" s="188" t="s">
        <v>489</v>
      </c>
      <c r="G156" s="195">
        <v>82</v>
      </c>
      <c r="J156" s="195">
        <v>82</v>
      </c>
    </row>
    <row r="157" spans="1:14" x14ac:dyDescent="0.2">
      <c r="A157" s="188" t="s">
        <v>502</v>
      </c>
      <c r="B157" s="188">
        <v>3011203</v>
      </c>
      <c r="D157" s="188" t="s">
        <v>392</v>
      </c>
      <c r="E157" s="188" t="s">
        <v>393</v>
      </c>
      <c r="F157" s="188" t="s">
        <v>489</v>
      </c>
      <c r="G157" s="195">
        <v>19</v>
      </c>
      <c r="J157" s="195">
        <v>19</v>
      </c>
    </row>
    <row r="158" spans="1:14" x14ac:dyDescent="0.2">
      <c r="A158" s="188" t="s">
        <v>502</v>
      </c>
      <c r="B158" s="188">
        <v>3011203</v>
      </c>
      <c r="D158" s="188" t="s">
        <v>394</v>
      </c>
      <c r="E158" s="188" t="s">
        <v>395</v>
      </c>
      <c r="F158" s="188" t="s">
        <v>489</v>
      </c>
      <c r="G158" s="195">
        <v>24</v>
      </c>
      <c r="J158" s="195">
        <v>24</v>
      </c>
    </row>
    <row r="159" spans="1:14" x14ac:dyDescent="0.2">
      <c r="A159" s="188" t="s">
        <v>502</v>
      </c>
      <c r="B159" s="188">
        <v>3011203</v>
      </c>
      <c r="D159" s="188" t="s">
        <v>396</v>
      </c>
      <c r="E159" s="188" t="s">
        <v>397</v>
      </c>
      <c r="F159" s="188" t="s">
        <v>489</v>
      </c>
      <c r="G159" s="195">
        <v>7</v>
      </c>
      <c r="J159" s="195">
        <v>7</v>
      </c>
    </row>
    <row r="160" spans="1:14" x14ac:dyDescent="0.2">
      <c r="A160" s="188" t="s">
        <v>505</v>
      </c>
      <c r="B160" s="194">
        <v>3011204</v>
      </c>
      <c r="D160" s="188" t="s">
        <v>431</v>
      </c>
      <c r="E160" s="188" t="s">
        <v>432</v>
      </c>
      <c r="F160" s="188" t="s">
        <v>489</v>
      </c>
      <c r="G160" s="195">
        <v>56525</v>
      </c>
      <c r="I160" s="195">
        <v>56525</v>
      </c>
    </row>
    <row r="161" spans="1:14" x14ac:dyDescent="0.2">
      <c r="A161" s="188" t="s">
        <v>505</v>
      </c>
      <c r="B161" s="194">
        <v>3011204</v>
      </c>
      <c r="D161" s="188" t="s">
        <v>433</v>
      </c>
      <c r="E161" s="188" t="s">
        <v>434</v>
      </c>
      <c r="F161" s="188" t="s">
        <v>489</v>
      </c>
      <c r="G161" s="195">
        <v>3774</v>
      </c>
      <c r="I161" s="195">
        <v>3774</v>
      </c>
    </row>
    <row r="162" spans="1:14" x14ac:dyDescent="0.2">
      <c r="A162" s="188" t="s">
        <v>505</v>
      </c>
      <c r="B162" s="194">
        <v>3011204</v>
      </c>
      <c r="D162" s="188" t="s">
        <v>435</v>
      </c>
      <c r="E162" s="188" t="s">
        <v>506</v>
      </c>
      <c r="F162" s="188" t="s">
        <v>489</v>
      </c>
      <c r="G162" s="195">
        <v>7970</v>
      </c>
      <c r="I162" s="195">
        <v>7970</v>
      </c>
    </row>
    <row r="163" spans="1:14" x14ac:dyDescent="0.2">
      <c r="A163" s="188" t="s">
        <v>505</v>
      </c>
      <c r="B163" s="194">
        <v>3011204</v>
      </c>
      <c r="D163" s="188" t="s">
        <v>500</v>
      </c>
      <c r="E163" s="188" t="s">
        <v>501</v>
      </c>
      <c r="F163" s="188" t="s">
        <v>489</v>
      </c>
      <c r="G163" s="195">
        <v>930</v>
      </c>
      <c r="I163" s="195">
        <v>930</v>
      </c>
    </row>
    <row r="164" spans="1:14" x14ac:dyDescent="0.2">
      <c r="A164" s="188" t="s">
        <v>505</v>
      </c>
      <c r="B164" s="194">
        <v>3011204</v>
      </c>
      <c r="D164" s="188" t="s">
        <v>403</v>
      </c>
      <c r="E164" s="188" t="s">
        <v>404</v>
      </c>
      <c r="F164" s="188" t="s">
        <v>489</v>
      </c>
      <c r="G164" s="195">
        <v>10699</v>
      </c>
      <c r="I164" s="195">
        <v>10699</v>
      </c>
    </row>
    <row r="165" spans="1:14" x14ac:dyDescent="0.2">
      <c r="A165" s="188" t="s">
        <v>505</v>
      </c>
      <c r="B165" s="188">
        <v>3011204</v>
      </c>
      <c r="D165" s="188" t="s">
        <v>382</v>
      </c>
      <c r="E165" s="188" t="s">
        <v>383</v>
      </c>
      <c r="F165" s="188" t="s">
        <v>489</v>
      </c>
      <c r="G165" s="195">
        <v>166</v>
      </c>
      <c r="J165" s="195">
        <v>166</v>
      </c>
    </row>
    <row r="166" spans="1:14" x14ac:dyDescent="0.2">
      <c r="A166" s="188" t="s">
        <v>505</v>
      </c>
      <c r="B166" s="188">
        <v>3011204</v>
      </c>
      <c r="D166" s="188" t="s">
        <v>452</v>
      </c>
      <c r="E166" s="188" t="s">
        <v>453</v>
      </c>
      <c r="F166" s="188" t="s">
        <v>489</v>
      </c>
      <c r="G166" s="195">
        <v>1</v>
      </c>
      <c r="J166" s="195">
        <v>1</v>
      </c>
    </row>
    <row r="167" spans="1:14" x14ac:dyDescent="0.2">
      <c r="A167" s="188" t="s">
        <v>505</v>
      </c>
      <c r="B167" s="188">
        <v>3011204</v>
      </c>
      <c r="D167" s="188" t="s">
        <v>384</v>
      </c>
      <c r="E167" s="188" t="s">
        <v>385</v>
      </c>
      <c r="F167" s="188" t="s">
        <v>489</v>
      </c>
      <c r="G167" s="195">
        <v>323</v>
      </c>
      <c r="J167" s="195">
        <v>323</v>
      </c>
    </row>
    <row r="168" spans="1:14" x14ac:dyDescent="0.2">
      <c r="A168" s="188" t="s">
        <v>505</v>
      </c>
      <c r="B168" s="188">
        <v>3011204</v>
      </c>
      <c r="D168" s="188" t="s">
        <v>386</v>
      </c>
      <c r="E168" s="188" t="s">
        <v>387</v>
      </c>
      <c r="F168" s="188" t="s">
        <v>489</v>
      </c>
      <c r="G168" s="195">
        <v>9</v>
      </c>
      <c r="J168" s="195">
        <v>9</v>
      </c>
    </row>
    <row r="169" spans="1:14" x14ac:dyDescent="0.2">
      <c r="A169" s="188" t="s">
        <v>505</v>
      </c>
      <c r="B169" s="188">
        <v>3011204</v>
      </c>
      <c r="D169" s="188" t="s">
        <v>388</v>
      </c>
      <c r="E169" s="188" t="s">
        <v>389</v>
      </c>
      <c r="F169" s="188" t="s">
        <v>489</v>
      </c>
      <c r="G169" s="195">
        <v>119</v>
      </c>
      <c r="J169" s="195">
        <v>119</v>
      </c>
    </row>
    <row r="170" spans="1:14" x14ac:dyDescent="0.2">
      <c r="A170" s="188" t="s">
        <v>505</v>
      </c>
      <c r="B170" s="188">
        <v>3011204</v>
      </c>
      <c r="D170" s="188" t="s">
        <v>390</v>
      </c>
      <c r="E170" s="188" t="s">
        <v>391</v>
      </c>
      <c r="F170" s="188" t="s">
        <v>489</v>
      </c>
      <c r="G170" s="195">
        <v>85</v>
      </c>
      <c r="J170" s="195">
        <v>85</v>
      </c>
    </row>
    <row r="171" spans="1:14" x14ac:dyDescent="0.2">
      <c r="A171" s="188" t="s">
        <v>505</v>
      </c>
      <c r="B171" s="188">
        <v>3011204</v>
      </c>
      <c r="D171" s="188" t="s">
        <v>392</v>
      </c>
      <c r="E171" s="188" t="s">
        <v>393</v>
      </c>
      <c r="F171" s="188" t="s">
        <v>489</v>
      </c>
      <c r="G171" s="195">
        <v>27</v>
      </c>
      <c r="J171" s="195">
        <v>27</v>
      </c>
    </row>
    <row r="172" spans="1:14" x14ac:dyDescent="0.2">
      <c r="A172" s="188" t="s">
        <v>505</v>
      </c>
      <c r="B172" s="188">
        <v>3011204</v>
      </c>
      <c r="D172" s="188" t="s">
        <v>394</v>
      </c>
      <c r="E172" s="188" t="s">
        <v>395</v>
      </c>
      <c r="F172" s="188" t="s">
        <v>489</v>
      </c>
      <c r="G172" s="195">
        <v>36</v>
      </c>
      <c r="J172" s="195">
        <v>36</v>
      </c>
    </row>
    <row r="173" spans="1:14" x14ac:dyDescent="0.2">
      <c r="A173" s="188" t="s">
        <v>505</v>
      </c>
      <c r="B173" s="188">
        <v>3011204</v>
      </c>
      <c r="D173" s="188" t="s">
        <v>396</v>
      </c>
      <c r="E173" s="188" t="s">
        <v>397</v>
      </c>
      <c r="F173" s="188" t="s">
        <v>489</v>
      </c>
      <c r="G173" s="195">
        <v>10</v>
      </c>
      <c r="J173" s="195">
        <v>10</v>
      </c>
    </row>
    <row r="174" spans="1:14" x14ac:dyDescent="0.2">
      <c r="A174" s="188" t="s">
        <v>507</v>
      </c>
      <c r="B174" s="194">
        <v>3011206</v>
      </c>
      <c r="D174" s="188" t="s">
        <v>425</v>
      </c>
      <c r="E174" s="188" t="s">
        <v>426</v>
      </c>
      <c r="F174" s="188" t="s">
        <v>489</v>
      </c>
      <c r="G174" s="195">
        <v>-36654</v>
      </c>
      <c r="I174" s="195">
        <v>-36654</v>
      </c>
      <c r="L174" s="200"/>
      <c r="M174" s="195"/>
    </row>
    <row r="175" spans="1:14" x14ac:dyDescent="0.2">
      <c r="A175" s="188" t="s">
        <v>507</v>
      </c>
      <c r="B175" s="194">
        <v>3011206</v>
      </c>
      <c r="D175" s="188" t="s">
        <v>431</v>
      </c>
      <c r="E175" s="188" t="s">
        <v>432</v>
      </c>
      <c r="F175" s="188" t="s">
        <v>489</v>
      </c>
      <c r="G175" s="195">
        <v>-56365</v>
      </c>
      <c r="I175" s="195">
        <v>-56365</v>
      </c>
      <c r="L175" s="200" t="s">
        <v>577</v>
      </c>
      <c r="M175" s="195">
        <v>-56365</v>
      </c>
      <c r="N175" s="200" t="s">
        <v>580</v>
      </c>
    </row>
    <row r="176" spans="1:14" x14ac:dyDescent="0.2">
      <c r="A176" s="188" t="s">
        <v>507</v>
      </c>
      <c r="B176" s="188">
        <v>3011206</v>
      </c>
      <c r="D176" s="188" t="s">
        <v>382</v>
      </c>
      <c r="E176" s="188" t="s">
        <v>383</v>
      </c>
      <c r="F176" s="188" t="s">
        <v>489</v>
      </c>
      <c r="G176" s="195">
        <v>193</v>
      </c>
      <c r="J176" s="195">
        <v>193</v>
      </c>
      <c r="M176" s="195">
        <v>0.27196535622351803</v>
      </c>
    </row>
    <row r="177" spans="1:10" x14ac:dyDescent="0.2">
      <c r="A177" s="188" t="s">
        <v>507</v>
      </c>
      <c r="B177" s="188">
        <v>3011206</v>
      </c>
      <c r="D177" s="188" t="s">
        <v>452</v>
      </c>
      <c r="E177" s="188" t="s">
        <v>453</v>
      </c>
      <c r="F177" s="188" t="s">
        <v>489</v>
      </c>
      <c r="G177" s="195">
        <v>3</v>
      </c>
      <c r="J177" s="195">
        <v>3</v>
      </c>
    </row>
    <row r="178" spans="1:10" x14ac:dyDescent="0.2">
      <c r="A178" s="188" t="s">
        <v>507</v>
      </c>
      <c r="B178" s="188">
        <v>3011206</v>
      </c>
      <c r="D178" s="188" t="s">
        <v>384</v>
      </c>
      <c r="E178" s="188" t="s">
        <v>385</v>
      </c>
      <c r="F178" s="188" t="s">
        <v>489</v>
      </c>
      <c r="G178" s="195">
        <v>376</v>
      </c>
      <c r="J178" s="195">
        <v>376</v>
      </c>
    </row>
    <row r="179" spans="1:10" x14ac:dyDescent="0.2">
      <c r="A179" s="188" t="s">
        <v>507</v>
      </c>
      <c r="B179" s="188">
        <v>3011206</v>
      </c>
      <c r="D179" s="188" t="s">
        <v>386</v>
      </c>
      <c r="E179" s="188" t="s">
        <v>387</v>
      </c>
      <c r="F179" s="188" t="s">
        <v>489</v>
      </c>
      <c r="G179" s="195">
        <v>31</v>
      </c>
      <c r="J179" s="195">
        <v>31</v>
      </c>
    </row>
    <row r="180" spans="1:10" x14ac:dyDescent="0.2">
      <c r="A180" s="188" t="s">
        <v>507</v>
      </c>
      <c r="B180" s="188">
        <v>3011206</v>
      </c>
      <c r="D180" s="188" t="s">
        <v>388</v>
      </c>
      <c r="E180" s="188" t="s">
        <v>389</v>
      </c>
      <c r="F180" s="188" t="s">
        <v>489</v>
      </c>
      <c r="G180" s="195">
        <v>138</v>
      </c>
      <c r="J180" s="195">
        <v>138</v>
      </c>
    </row>
    <row r="181" spans="1:10" x14ac:dyDescent="0.2">
      <c r="A181" s="188" t="s">
        <v>507</v>
      </c>
      <c r="B181" s="188">
        <v>3011206</v>
      </c>
      <c r="D181" s="188" t="s">
        <v>390</v>
      </c>
      <c r="E181" s="188" t="s">
        <v>391</v>
      </c>
      <c r="F181" s="188" t="s">
        <v>489</v>
      </c>
      <c r="G181" s="195">
        <v>305</v>
      </c>
      <c r="J181" s="195">
        <v>305</v>
      </c>
    </row>
    <row r="182" spans="1:10" x14ac:dyDescent="0.2">
      <c r="A182" s="188" t="s">
        <v>507</v>
      </c>
      <c r="B182" s="188">
        <v>3011206</v>
      </c>
      <c r="D182" s="188" t="s">
        <v>392</v>
      </c>
      <c r="E182" s="188" t="s">
        <v>393</v>
      </c>
      <c r="F182" s="188" t="s">
        <v>489</v>
      </c>
      <c r="G182" s="195">
        <v>32</v>
      </c>
      <c r="J182" s="195">
        <v>32</v>
      </c>
    </row>
    <row r="183" spans="1:10" x14ac:dyDescent="0.2">
      <c r="A183" s="188" t="s">
        <v>507</v>
      </c>
      <c r="B183" s="188">
        <v>3011206</v>
      </c>
      <c r="D183" s="188" t="s">
        <v>394</v>
      </c>
      <c r="E183" s="188" t="s">
        <v>395</v>
      </c>
      <c r="F183" s="188" t="s">
        <v>489</v>
      </c>
      <c r="G183" s="195">
        <v>41</v>
      </c>
      <c r="J183" s="195">
        <v>41</v>
      </c>
    </row>
    <row r="184" spans="1:10" x14ac:dyDescent="0.2">
      <c r="A184" s="188" t="s">
        <v>507</v>
      </c>
      <c r="B184" s="188">
        <v>3011206</v>
      </c>
      <c r="D184" s="188" t="s">
        <v>396</v>
      </c>
      <c r="E184" s="188" t="s">
        <v>397</v>
      </c>
      <c r="F184" s="188" t="s">
        <v>489</v>
      </c>
      <c r="G184" s="195">
        <v>12</v>
      </c>
      <c r="J184" s="195">
        <v>12</v>
      </c>
    </row>
    <row r="185" spans="1:10" x14ac:dyDescent="0.2">
      <c r="A185" s="188" t="s">
        <v>508</v>
      </c>
      <c r="B185" s="194">
        <v>3014107</v>
      </c>
      <c r="D185" s="188" t="s">
        <v>412</v>
      </c>
      <c r="E185" s="188" t="s">
        <v>413</v>
      </c>
      <c r="F185" s="188" t="s">
        <v>489</v>
      </c>
      <c r="G185" s="195">
        <v>123122</v>
      </c>
      <c r="I185" s="195">
        <v>123122</v>
      </c>
    </row>
    <row r="186" spans="1:10" x14ac:dyDescent="0.2">
      <c r="A186" s="188" t="s">
        <v>508</v>
      </c>
      <c r="B186" s="194">
        <v>3014107</v>
      </c>
      <c r="D186" s="188" t="s">
        <v>415</v>
      </c>
      <c r="E186" s="188" t="s">
        <v>416</v>
      </c>
      <c r="F186" s="188" t="s">
        <v>489</v>
      </c>
      <c r="G186" s="195">
        <v>36453</v>
      </c>
      <c r="I186" s="195">
        <v>36453</v>
      </c>
    </row>
    <row r="187" spans="1:10" x14ac:dyDescent="0.2">
      <c r="A187" s="188" t="s">
        <v>508</v>
      </c>
      <c r="B187" s="194">
        <v>3014107</v>
      </c>
      <c r="D187" s="188" t="s">
        <v>417</v>
      </c>
      <c r="E187" s="188" t="s">
        <v>418</v>
      </c>
      <c r="F187" s="188" t="s">
        <v>489</v>
      </c>
      <c r="G187" s="195">
        <v>74633</v>
      </c>
      <c r="I187" s="195">
        <v>74633</v>
      </c>
    </row>
    <row r="188" spans="1:10" x14ac:dyDescent="0.2">
      <c r="A188" s="188" t="s">
        <v>508</v>
      </c>
      <c r="B188" s="188">
        <v>3014107</v>
      </c>
      <c r="D188" s="188" t="s">
        <v>406</v>
      </c>
      <c r="E188" s="188" t="s">
        <v>407</v>
      </c>
      <c r="F188" s="188" t="s">
        <v>489</v>
      </c>
      <c r="G188" s="195">
        <v>25</v>
      </c>
      <c r="I188" s="195">
        <v>25</v>
      </c>
    </row>
    <row r="189" spans="1:10" x14ac:dyDescent="0.2">
      <c r="A189" s="188" t="s">
        <v>508</v>
      </c>
      <c r="B189" s="194">
        <v>3014107</v>
      </c>
      <c r="D189" s="188" t="s">
        <v>445</v>
      </c>
      <c r="E189" s="188" t="s">
        <v>446</v>
      </c>
      <c r="F189" s="188" t="s">
        <v>489</v>
      </c>
      <c r="G189" s="195">
        <v>1000</v>
      </c>
      <c r="I189" s="195">
        <v>1000</v>
      </c>
    </row>
    <row r="190" spans="1:10" x14ac:dyDescent="0.2">
      <c r="A190" s="188" t="s">
        <v>508</v>
      </c>
      <c r="B190" s="188">
        <v>3014107</v>
      </c>
      <c r="D190" s="188" t="s">
        <v>382</v>
      </c>
      <c r="E190" s="188" t="s">
        <v>383</v>
      </c>
      <c r="F190" s="188" t="s">
        <v>489</v>
      </c>
      <c r="G190" s="195">
        <v>539</v>
      </c>
      <c r="I190" s="195"/>
      <c r="J190" s="195">
        <v>539</v>
      </c>
    </row>
    <row r="191" spans="1:10" x14ac:dyDescent="0.2">
      <c r="A191" s="188" t="s">
        <v>508</v>
      </c>
      <c r="B191" s="188">
        <v>3014107</v>
      </c>
      <c r="D191" s="188" t="s">
        <v>384</v>
      </c>
      <c r="E191" s="188" t="s">
        <v>385</v>
      </c>
      <c r="F191" s="188" t="s">
        <v>489</v>
      </c>
      <c r="G191" s="195">
        <v>1049</v>
      </c>
      <c r="J191" s="195">
        <v>1049</v>
      </c>
    </row>
    <row r="192" spans="1:10" x14ac:dyDescent="0.2">
      <c r="A192" s="188" t="s">
        <v>508</v>
      </c>
      <c r="B192" s="188">
        <v>3014107</v>
      </c>
      <c r="D192" s="188" t="s">
        <v>386</v>
      </c>
      <c r="E192" s="188" t="s">
        <v>387</v>
      </c>
      <c r="F192" s="188" t="s">
        <v>489</v>
      </c>
      <c r="G192" s="195">
        <v>1</v>
      </c>
      <c r="J192" s="195">
        <v>1</v>
      </c>
    </row>
    <row r="193" spans="1:11" x14ac:dyDescent="0.2">
      <c r="A193" s="188" t="s">
        <v>508</v>
      </c>
      <c r="B193" s="188">
        <v>3014107</v>
      </c>
      <c r="D193" s="188" t="s">
        <v>388</v>
      </c>
      <c r="E193" s="188" t="s">
        <v>389</v>
      </c>
      <c r="F193" s="188" t="s">
        <v>489</v>
      </c>
      <c r="G193" s="195">
        <v>386</v>
      </c>
      <c r="J193" s="195">
        <v>386</v>
      </c>
    </row>
    <row r="194" spans="1:11" x14ac:dyDescent="0.2">
      <c r="A194" s="188" t="s">
        <v>508</v>
      </c>
      <c r="B194" s="188">
        <v>3014107</v>
      </c>
      <c r="D194" s="188" t="s">
        <v>390</v>
      </c>
      <c r="E194" s="188" t="s">
        <v>391</v>
      </c>
      <c r="F194" s="188" t="s">
        <v>489</v>
      </c>
      <c r="G194" s="195">
        <v>12</v>
      </c>
      <c r="J194" s="195">
        <v>12</v>
      </c>
    </row>
    <row r="195" spans="1:11" x14ac:dyDescent="0.2">
      <c r="A195" s="188" t="s">
        <v>508</v>
      </c>
      <c r="B195" s="188">
        <v>3014107</v>
      </c>
      <c r="D195" s="188" t="s">
        <v>408</v>
      </c>
      <c r="E195" s="188" t="s">
        <v>409</v>
      </c>
      <c r="F195" s="188" t="s">
        <v>489</v>
      </c>
      <c r="G195" s="195">
        <v>3261</v>
      </c>
      <c r="J195" s="195">
        <v>3261</v>
      </c>
    </row>
    <row r="196" spans="1:11" x14ac:dyDescent="0.2">
      <c r="A196" s="188" t="s">
        <v>508</v>
      </c>
      <c r="B196" s="188">
        <v>3014107</v>
      </c>
      <c r="D196" s="188" t="s">
        <v>392</v>
      </c>
      <c r="E196" s="188" t="s">
        <v>393</v>
      </c>
      <c r="F196" s="188" t="s">
        <v>489</v>
      </c>
      <c r="G196" s="195">
        <v>89</v>
      </c>
      <c r="J196" s="195">
        <v>89</v>
      </c>
    </row>
    <row r="197" spans="1:11" x14ac:dyDescent="0.2">
      <c r="A197" s="188" t="s">
        <v>508</v>
      </c>
      <c r="B197" s="188">
        <v>3014107</v>
      </c>
      <c r="D197" s="188" t="s">
        <v>394</v>
      </c>
      <c r="E197" s="188" t="s">
        <v>395</v>
      </c>
      <c r="F197" s="188" t="s">
        <v>489</v>
      </c>
      <c r="G197" s="195">
        <v>115</v>
      </c>
      <c r="J197" s="195">
        <v>115</v>
      </c>
    </row>
    <row r="198" spans="1:11" x14ac:dyDescent="0.2">
      <c r="A198" s="188" t="s">
        <v>508</v>
      </c>
      <c r="B198" s="188">
        <v>3014107</v>
      </c>
      <c r="D198" s="188" t="s">
        <v>396</v>
      </c>
      <c r="E198" s="188" t="s">
        <v>397</v>
      </c>
      <c r="F198" s="188" t="s">
        <v>489</v>
      </c>
      <c r="G198" s="195">
        <v>33</v>
      </c>
      <c r="J198" s="195">
        <v>33</v>
      </c>
    </row>
    <row r="199" spans="1:11" x14ac:dyDescent="0.2">
      <c r="A199" s="188" t="s">
        <v>488</v>
      </c>
      <c r="B199" s="194">
        <v>3011101</v>
      </c>
      <c r="D199" s="188" t="s">
        <v>509</v>
      </c>
      <c r="E199" s="188" t="s">
        <v>510</v>
      </c>
      <c r="F199" s="188" t="s">
        <v>511</v>
      </c>
      <c r="G199" s="195">
        <v>-861</v>
      </c>
      <c r="I199" s="195">
        <v>-861</v>
      </c>
    </row>
    <row r="200" spans="1:11" x14ac:dyDescent="0.2">
      <c r="A200" s="188" t="s">
        <v>508</v>
      </c>
      <c r="B200" s="194">
        <v>3014107</v>
      </c>
      <c r="D200" s="188" t="s">
        <v>512</v>
      </c>
      <c r="E200" s="188" t="s">
        <v>513</v>
      </c>
      <c r="F200" s="188" t="s">
        <v>511</v>
      </c>
      <c r="G200" s="195">
        <v>-24415</v>
      </c>
      <c r="I200" s="195">
        <v>-24415</v>
      </c>
    </row>
    <row r="202" spans="1:11" x14ac:dyDescent="0.2">
      <c r="G202" s="195">
        <v>231347</v>
      </c>
      <c r="I202" s="188">
        <v>209957</v>
      </c>
      <c r="J202" s="188">
        <v>5497</v>
      </c>
      <c r="K202" s="188">
        <v>215454</v>
      </c>
    </row>
    <row r="204" spans="1:11" x14ac:dyDescent="0.2">
      <c r="A204" s="191" t="s">
        <v>514</v>
      </c>
      <c r="B204" s="192"/>
      <c r="C204" s="192"/>
      <c r="D204" s="192"/>
      <c r="E204" s="192"/>
      <c r="F204" s="192"/>
      <c r="G204" s="193">
        <v>952938</v>
      </c>
    </row>
    <row r="206" spans="1:11" x14ac:dyDescent="0.2">
      <c r="A206" s="188" t="s">
        <v>515</v>
      </c>
      <c r="B206" s="194">
        <v>3014109</v>
      </c>
      <c r="D206" s="188" t="s">
        <v>412</v>
      </c>
      <c r="E206" s="188" t="s">
        <v>413</v>
      </c>
      <c r="F206" s="188" t="s">
        <v>516</v>
      </c>
      <c r="G206" s="195">
        <v>96180</v>
      </c>
      <c r="I206" s="195">
        <v>96180</v>
      </c>
    </row>
    <row r="207" spans="1:11" x14ac:dyDescent="0.2">
      <c r="A207" s="188" t="s">
        <v>515</v>
      </c>
      <c r="B207" s="194">
        <v>3014109</v>
      </c>
      <c r="D207" s="188" t="s">
        <v>415</v>
      </c>
      <c r="E207" s="188" t="s">
        <v>416</v>
      </c>
      <c r="F207" s="188" t="s">
        <v>516</v>
      </c>
      <c r="G207" s="195">
        <v>7451</v>
      </c>
      <c r="I207" s="195">
        <v>7451</v>
      </c>
    </row>
    <row r="208" spans="1:11" x14ac:dyDescent="0.2">
      <c r="A208" s="188" t="s">
        <v>515</v>
      </c>
      <c r="B208" s="194">
        <v>3014109</v>
      </c>
      <c r="D208" s="188" t="s">
        <v>417</v>
      </c>
      <c r="E208" s="188" t="s">
        <v>418</v>
      </c>
      <c r="F208" s="188" t="s">
        <v>516</v>
      </c>
      <c r="G208" s="195">
        <v>13555</v>
      </c>
      <c r="I208" s="195">
        <v>13555</v>
      </c>
    </row>
    <row r="209" spans="1:10" x14ac:dyDescent="0.2">
      <c r="A209" s="188" t="s">
        <v>515</v>
      </c>
      <c r="B209" s="194">
        <v>3014109</v>
      </c>
      <c r="D209" s="188" t="s">
        <v>419</v>
      </c>
      <c r="E209" s="188" t="s">
        <v>420</v>
      </c>
      <c r="F209" s="188" t="s">
        <v>516</v>
      </c>
      <c r="G209" s="195">
        <v>11821</v>
      </c>
      <c r="I209" s="195">
        <v>11821</v>
      </c>
    </row>
    <row r="210" spans="1:10" x14ac:dyDescent="0.2">
      <c r="A210" s="188" t="s">
        <v>515</v>
      </c>
      <c r="B210" s="188">
        <v>3014109</v>
      </c>
      <c r="D210" s="188" t="s">
        <v>406</v>
      </c>
      <c r="E210" s="188" t="s">
        <v>407</v>
      </c>
      <c r="F210" s="188" t="s">
        <v>516</v>
      </c>
      <c r="G210" s="195">
        <v>17</v>
      </c>
      <c r="I210" s="195">
        <v>17</v>
      </c>
    </row>
    <row r="211" spans="1:10" x14ac:dyDescent="0.2">
      <c r="A211" s="188" t="s">
        <v>515</v>
      </c>
      <c r="B211" s="194">
        <v>3014109</v>
      </c>
      <c r="D211" s="188" t="s">
        <v>445</v>
      </c>
      <c r="E211" s="188" t="s">
        <v>446</v>
      </c>
      <c r="F211" s="188" t="s">
        <v>516</v>
      </c>
      <c r="G211" s="195">
        <v>200</v>
      </c>
      <c r="I211" s="195">
        <v>200</v>
      </c>
    </row>
    <row r="212" spans="1:10" x14ac:dyDescent="0.2">
      <c r="A212" s="188" t="s">
        <v>515</v>
      </c>
      <c r="B212" s="188">
        <v>3014109</v>
      </c>
      <c r="D212" s="188" t="s">
        <v>382</v>
      </c>
      <c r="E212" s="188" t="s">
        <v>383</v>
      </c>
      <c r="F212" s="188" t="s">
        <v>516</v>
      </c>
      <c r="G212" s="195">
        <v>268</v>
      </c>
      <c r="J212" s="195">
        <v>268</v>
      </c>
    </row>
    <row r="213" spans="1:10" x14ac:dyDescent="0.2">
      <c r="A213" s="188" t="s">
        <v>515</v>
      </c>
      <c r="B213" s="188">
        <v>3014109</v>
      </c>
      <c r="D213" s="188" t="s">
        <v>384</v>
      </c>
      <c r="E213" s="188" t="s">
        <v>385</v>
      </c>
      <c r="F213" s="188" t="s">
        <v>516</v>
      </c>
      <c r="G213" s="195">
        <v>522</v>
      </c>
      <c r="J213" s="195">
        <v>522</v>
      </c>
    </row>
    <row r="214" spans="1:10" x14ac:dyDescent="0.2">
      <c r="A214" s="188" t="s">
        <v>515</v>
      </c>
      <c r="B214" s="188">
        <v>3014109</v>
      </c>
      <c r="D214" s="188" t="s">
        <v>388</v>
      </c>
      <c r="E214" s="188" t="s">
        <v>389</v>
      </c>
      <c r="F214" s="188" t="s">
        <v>516</v>
      </c>
      <c r="G214" s="195">
        <v>192</v>
      </c>
      <c r="J214" s="195">
        <v>192</v>
      </c>
    </row>
    <row r="215" spans="1:10" x14ac:dyDescent="0.2">
      <c r="A215" s="188" t="s">
        <v>515</v>
      </c>
      <c r="B215" s="188">
        <v>3014109</v>
      </c>
      <c r="D215" s="188" t="s">
        <v>390</v>
      </c>
      <c r="E215" s="188" t="s">
        <v>391</v>
      </c>
      <c r="F215" s="188" t="s">
        <v>516</v>
      </c>
      <c r="G215" s="195">
        <v>1</v>
      </c>
      <c r="J215" s="195">
        <v>1</v>
      </c>
    </row>
    <row r="216" spans="1:10" x14ac:dyDescent="0.2">
      <c r="A216" s="188" t="s">
        <v>515</v>
      </c>
      <c r="B216" s="188">
        <v>3014109</v>
      </c>
      <c r="D216" s="188" t="s">
        <v>408</v>
      </c>
      <c r="E216" s="188" t="s">
        <v>409</v>
      </c>
      <c r="F216" s="188" t="s">
        <v>516</v>
      </c>
      <c r="G216" s="195">
        <v>2217</v>
      </c>
      <c r="J216" s="195">
        <v>2217</v>
      </c>
    </row>
    <row r="217" spans="1:10" x14ac:dyDescent="0.2">
      <c r="A217" s="188" t="s">
        <v>515</v>
      </c>
      <c r="B217" s="188">
        <v>3014109</v>
      </c>
      <c r="D217" s="188" t="s">
        <v>392</v>
      </c>
      <c r="E217" s="188" t="s">
        <v>393</v>
      </c>
      <c r="F217" s="188" t="s">
        <v>516</v>
      </c>
      <c r="G217" s="195">
        <v>44</v>
      </c>
      <c r="J217" s="195">
        <v>44</v>
      </c>
    </row>
    <row r="218" spans="1:10" x14ac:dyDescent="0.2">
      <c r="A218" s="188" t="s">
        <v>515</v>
      </c>
      <c r="B218" s="188">
        <v>3014109</v>
      </c>
      <c r="D218" s="188" t="s">
        <v>394</v>
      </c>
      <c r="E218" s="188" t="s">
        <v>395</v>
      </c>
      <c r="F218" s="188" t="s">
        <v>516</v>
      </c>
      <c r="G218" s="195">
        <v>57</v>
      </c>
      <c r="J218" s="195">
        <v>57</v>
      </c>
    </row>
    <row r="219" spans="1:10" x14ac:dyDescent="0.2">
      <c r="A219" s="188" t="s">
        <v>515</v>
      </c>
      <c r="B219" s="188">
        <v>3014109</v>
      </c>
      <c r="D219" s="188" t="s">
        <v>396</v>
      </c>
      <c r="E219" s="188" t="s">
        <v>397</v>
      </c>
      <c r="F219" s="188" t="s">
        <v>516</v>
      </c>
      <c r="G219" s="195">
        <v>16</v>
      </c>
      <c r="J219" s="195">
        <v>16</v>
      </c>
    </row>
    <row r="220" spans="1:10" x14ac:dyDescent="0.2">
      <c r="A220" s="188" t="s">
        <v>517</v>
      </c>
      <c r="B220" s="188">
        <v>3045801</v>
      </c>
      <c r="D220" s="188" t="s">
        <v>406</v>
      </c>
      <c r="E220" s="188" t="s">
        <v>407</v>
      </c>
      <c r="F220" s="188" t="s">
        <v>516</v>
      </c>
      <c r="G220" s="195">
        <v>18</v>
      </c>
      <c r="I220" s="195">
        <v>18</v>
      </c>
    </row>
    <row r="221" spans="1:10" x14ac:dyDescent="0.2">
      <c r="A221" s="188" t="s">
        <v>517</v>
      </c>
      <c r="B221" s="194">
        <v>3045801</v>
      </c>
      <c r="D221" s="188" t="s">
        <v>443</v>
      </c>
      <c r="E221" s="188" t="s">
        <v>444</v>
      </c>
      <c r="F221" s="188" t="s">
        <v>516</v>
      </c>
      <c r="G221" s="195">
        <v>-1069</v>
      </c>
      <c r="I221" s="195">
        <v>-1069</v>
      </c>
    </row>
    <row r="222" spans="1:10" x14ac:dyDescent="0.2">
      <c r="A222" s="188" t="s">
        <v>517</v>
      </c>
      <c r="B222" s="194">
        <v>3045801</v>
      </c>
      <c r="D222" s="188" t="s">
        <v>403</v>
      </c>
      <c r="E222" s="188" t="s">
        <v>404</v>
      </c>
      <c r="F222" s="188" t="s">
        <v>516</v>
      </c>
      <c r="G222" s="195">
        <v>110000</v>
      </c>
      <c r="I222" s="195">
        <v>110000</v>
      </c>
    </row>
    <row r="223" spans="1:10" x14ac:dyDescent="0.2">
      <c r="A223" s="188" t="s">
        <v>517</v>
      </c>
      <c r="B223" s="188">
        <v>3045801</v>
      </c>
      <c r="D223" s="188" t="s">
        <v>382</v>
      </c>
      <c r="E223" s="188" t="s">
        <v>383</v>
      </c>
      <c r="F223" s="188" t="s">
        <v>516</v>
      </c>
      <c r="G223" s="195">
        <v>231</v>
      </c>
      <c r="J223" s="195">
        <v>231</v>
      </c>
    </row>
    <row r="224" spans="1:10" x14ac:dyDescent="0.2">
      <c r="A224" s="188" t="s">
        <v>517</v>
      </c>
      <c r="B224" s="188">
        <v>3045801</v>
      </c>
      <c r="D224" s="188" t="s">
        <v>384</v>
      </c>
      <c r="E224" s="188" t="s">
        <v>385</v>
      </c>
      <c r="F224" s="188" t="s">
        <v>516</v>
      </c>
      <c r="G224" s="195">
        <v>449</v>
      </c>
      <c r="J224" s="195">
        <v>449</v>
      </c>
    </row>
    <row r="225" spans="1:10" x14ac:dyDescent="0.2">
      <c r="A225" s="188" t="s">
        <v>517</v>
      </c>
      <c r="B225" s="188">
        <v>3045801</v>
      </c>
      <c r="D225" s="188" t="s">
        <v>386</v>
      </c>
      <c r="E225" s="188" t="s">
        <v>387</v>
      </c>
      <c r="F225" s="188" t="s">
        <v>516</v>
      </c>
      <c r="G225" s="195">
        <v>1</v>
      </c>
      <c r="J225" s="195">
        <v>1</v>
      </c>
    </row>
    <row r="226" spans="1:10" x14ac:dyDescent="0.2">
      <c r="A226" s="188" t="s">
        <v>517</v>
      </c>
      <c r="B226" s="188">
        <v>3045801</v>
      </c>
      <c r="D226" s="188" t="s">
        <v>388</v>
      </c>
      <c r="E226" s="188" t="s">
        <v>389</v>
      </c>
      <c r="F226" s="188" t="s">
        <v>516</v>
      </c>
      <c r="G226" s="195">
        <v>165</v>
      </c>
      <c r="J226" s="195">
        <v>165</v>
      </c>
    </row>
    <row r="227" spans="1:10" x14ac:dyDescent="0.2">
      <c r="A227" s="188" t="s">
        <v>517</v>
      </c>
      <c r="B227" s="188">
        <v>3045801</v>
      </c>
      <c r="D227" s="188" t="s">
        <v>390</v>
      </c>
      <c r="E227" s="188" t="s">
        <v>391</v>
      </c>
      <c r="F227" s="188" t="s">
        <v>516</v>
      </c>
      <c r="G227" s="195">
        <v>12</v>
      </c>
      <c r="J227" s="195">
        <v>12</v>
      </c>
    </row>
    <row r="228" spans="1:10" x14ac:dyDescent="0.2">
      <c r="A228" s="188" t="s">
        <v>517</v>
      </c>
      <c r="B228" s="188">
        <v>3045801</v>
      </c>
      <c r="D228" s="188" t="s">
        <v>408</v>
      </c>
      <c r="E228" s="188" t="s">
        <v>409</v>
      </c>
      <c r="F228" s="188" t="s">
        <v>516</v>
      </c>
      <c r="G228" s="195">
        <v>2348</v>
      </c>
      <c r="J228" s="195">
        <v>2348</v>
      </c>
    </row>
    <row r="229" spans="1:10" x14ac:dyDescent="0.2">
      <c r="A229" s="188" t="s">
        <v>517</v>
      </c>
      <c r="B229" s="188">
        <v>3045801</v>
      </c>
      <c r="D229" s="188" t="s">
        <v>392</v>
      </c>
      <c r="E229" s="188" t="s">
        <v>393</v>
      </c>
      <c r="F229" s="188" t="s">
        <v>516</v>
      </c>
      <c r="G229" s="195">
        <v>38</v>
      </c>
      <c r="J229" s="195">
        <v>38</v>
      </c>
    </row>
    <row r="230" spans="1:10" x14ac:dyDescent="0.2">
      <c r="A230" s="188" t="s">
        <v>517</v>
      </c>
      <c r="B230" s="188">
        <v>3045801</v>
      </c>
      <c r="D230" s="188" t="s">
        <v>394</v>
      </c>
      <c r="E230" s="188" t="s">
        <v>395</v>
      </c>
      <c r="F230" s="188" t="s">
        <v>516</v>
      </c>
      <c r="G230" s="195">
        <v>49</v>
      </c>
      <c r="J230" s="195">
        <v>49</v>
      </c>
    </row>
    <row r="231" spans="1:10" x14ac:dyDescent="0.2">
      <c r="A231" s="188" t="s">
        <v>517</v>
      </c>
      <c r="B231" s="188">
        <v>3045801</v>
      </c>
      <c r="D231" s="188" t="s">
        <v>396</v>
      </c>
      <c r="E231" s="188" t="s">
        <v>397</v>
      </c>
      <c r="F231" s="188" t="s">
        <v>516</v>
      </c>
      <c r="G231" s="195">
        <v>14</v>
      </c>
      <c r="J231" s="195">
        <v>14</v>
      </c>
    </row>
    <row r="232" spans="1:10" x14ac:dyDescent="0.2">
      <c r="A232" s="198" t="s">
        <v>518</v>
      </c>
      <c r="G232" s="188">
        <v>708141</v>
      </c>
      <c r="I232" s="188">
        <v>708141</v>
      </c>
    </row>
    <row r="234" spans="1:10" x14ac:dyDescent="0.2">
      <c r="G234" s="195">
        <v>952938</v>
      </c>
    </row>
    <row r="236" spans="1:10" ht="25.5" x14ac:dyDescent="0.2">
      <c r="A236" s="242" t="s">
        <v>519</v>
      </c>
      <c r="B236" s="192"/>
      <c r="C236" s="192"/>
      <c r="D236" s="192"/>
      <c r="E236" s="192"/>
      <c r="F236" s="192"/>
      <c r="G236" s="193">
        <v>330149</v>
      </c>
    </row>
    <row r="238" spans="1:10" x14ac:dyDescent="0.2">
      <c r="A238" s="188" t="s">
        <v>520</v>
      </c>
      <c r="B238" s="194">
        <v>3011107</v>
      </c>
      <c r="D238" s="188" t="s">
        <v>412</v>
      </c>
      <c r="E238" s="188" t="s">
        <v>413</v>
      </c>
      <c r="F238" s="188" t="s">
        <v>521</v>
      </c>
      <c r="G238" s="195">
        <v>24504</v>
      </c>
      <c r="I238" s="195">
        <v>24504</v>
      </c>
    </row>
    <row r="239" spans="1:10" x14ac:dyDescent="0.2">
      <c r="A239" s="188" t="s">
        <v>520</v>
      </c>
      <c r="B239" s="194">
        <v>3011107</v>
      </c>
      <c r="D239" s="188" t="s">
        <v>415</v>
      </c>
      <c r="E239" s="188" t="s">
        <v>416</v>
      </c>
      <c r="F239" s="188" t="s">
        <v>521</v>
      </c>
      <c r="G239" s="195">
        <v>13217</v>
      </c>
      <c r="I239" s="195">
        <v>13217</v>
      </c>
    </row>
    <row r="240" spans="1:10" x14ac:dyDescent="0.2">
      <c r="A240" s="188" t="s">
        <v>520</v>
      </c>
      <c r="B240" s="194">
        <v>3011107</v>
      </c>
      <c r="D240" s="188" t="s">
        <v>417</v>
      </c>
      <c r="E240" s="188" t="s">
        <v>418</v>
      </c>
      <c r="F240" s="188" t="s">
        <v>521</v>
      </c>
      <c r="G240" s="195">
        <v>24935</v>
      </c>
      <c r="I240" s="195">
        <v>24935</v>
      </c>
    </row>
    <row r="241" spans="1:9" x14ac:dyDescent="0.2">
      <c r="A241" s="188" t="s">
        <v>520</v>
      </c>
      <c r="B241" s="194">
        <v>3011107</v>
      </c>
      <c r="D241" s="188" t="s">
        <v>522</v>
      </c>
      <c r="E241" s="188" t="s">
        <v>523</v>
      </c>
      <c r="F241" s="188" t="s">
        <v>521</v>
      </c>
      <c r="G241" s="195">
        <v>13722</v>
      </c>
      <c r="I241" s="195">
        <v>13722</v>
      </c>
    </row>
    <row r="242" spans="1:9" x14ac:dyDescent="0.2">
      <c r="A242" s="188" t="s">
        <v>520</v>
      </c>
      <c r="B242" s="194">
        <v>3011107</v>
      </c>
      <c r="D242" s="188" t="s">
        <v>524</v>
      </c>
      <c r="E242" s="188" t="s">
        <v>525</v>
      </c>
      <c r="F242" s="188" t="s">
        <v>521</v>
      </c>
      <c r="G242" s="195">
        <v>361</v>
      </c>
      <c r="I242" s="195">
        <v>361</v>
      </c>
    </row>
    <row r="243" spans="1:9" x14ac:dyDescent="0.2">
      <c r="A243" s="188" t="s">
        <v>520</v>
      </c>
      <c r="B243" s="194">
        <v>3011107</v>
      </c>
      <c r="D243" s="188" t="s">
        <v>419</v>
      </c>
      <c r="E243" s="188" t="s">
        <v>420</v>
      </c>
      <c r="F243" s="188" t="s">
        <v>521</v>
      </c>
      <c r="G243" s="195">
        <v>34172</v>
      </c>
      <c r="I243" s="195">
        <v>34172</v>
      </c>
    </row>
    <row r="244" spans="1:9" x14ac:dyDescent="0.2">
      <c r="A244" s="188" t="s">
        <v>520</v>
      </c>
      <c r="B244" s="194">
        <v>3011107</v>
      </c>
      <c r="D244" s="188" t="s">
        <v>421</v>
      </c>
      <c r="E244" s="188" t="s">
        <v>422</v>
      </c>
      <c r="F244" s="188" t="s">
        <v>521</v>
      </c>
      <c r="G244" s="195">
        <v>2734</v>
      </c>
      <c r="I244" s="195">
        <v>2734</v>
      </c>
    </row>
    <row r="245" spans="1:9" x14ac:dyDescent="0.2">
      <c r="A245" s="188" t="s">
        <v>520</v>
      </c>
      <c r="B245" s="194">
        <v>3011107</v>
      </c>
      <c r="D245" s="188" t="s">
        <v>423</v>
      </c>
      <c r="E245" s="188" t="s">
        <v>424</v>
      </c>
      <c r="F245" s="188" t="s">
        <v>521</v>
      </c>
      <c r="G245" s="195">
        <v>6083</v>
      </c>
      <c r="I245" s="195">
        <v>6083</v>
      </c>
    </row>
    <row r="246" spans="1:9" x14ac:dyDescent="0.2">
      <c r="A246" s="188" t="s">
        <v>520</v>
      </c>
      <c r="B246" s="194">
        <v>3011107</v>
      </c>
      <c r="D246" s="188" t="s">
        <v>526</v>
      </c>
      <c r="E246" s="188" t="s">
        <v>527</v>
      </c>
      <c r="F246" s="188" t="s">
        <v>521</v>
      </c>
      <c r="G246" s="195">
        <v>867</v>
      </c>
      <c r="I246" s="195">
        <v>867</v>
      </c>
    </row>
    <row r="247" spans="1:9" x14ac:dyDescent="0.2">
      <c r="A247" s="188" t="s">
        <v>520</v>
      </c>
      <c r="B247" s="194">
        <v>3011107</v>
      </c>
      <c r="D247" s="188" t="s">
        <v>425</v>
      </c>
      <c r="E247" s="188" t="s">
        <v>426</v>
      </c>
      <c r="F247" s="188" t="s">
        <v>521</v>
      </c>
      <c r="G247" s="195">
        <v>36484</v>
      </c>
      <c r="I247" s="195">
        <v>36484</v>
      </c>
    </row>
    <row r="248" spans="1:9" x14ac:dyDescent="0.2">
      <c r="A248" s="188" t="s">
        <v>520</v>
      </c>
      <c r="B248" s="194">
        <v>3011107</v>
      </c>
      <c r="D248" s="188" t="s">
        <v>427</v>
      </c>
      <c r="E248" s="188" t="s">
        <v>428</v>
      </c>
      <c r="F248" s="188" t="s">
        <v>521</v>
      </c>
      <c r="G248" s="195">
        <v>3327</v>
      </c>
      <c r="I248" s="195">
        <v>3327</v>
      </c>
    </row>
    <row r="249" spans="1:9" x14ac:dyDescent="0.2">
      <c r="A249" s="188" t="s">
        <v>520</v>
      </c>
      <c r="B249" s="194">
        <v>3011107</v>
      </c>
      <c r="D249" s="188" t="s">
        <v>429</v>
      </c>
      <c r="E249" s="188" t="s">
        <v>430</v>
      </c>
      <c r="F249" s="188" t="s">
        <v>521</v>
      </c>
      <c r="G249" s="195">
        <v>6557</v>
      </c>
      <c r="I249" s="195">
        <v>6557</v>
      </c>
    </row>
    <row r="250" spans="1:9" x14ac:dyDescent="0.2">
      <c r="A250" s="188" t="s">
        <v>520</v>
      </c>
      <c r="B250" s="194">
        <v>3011107</v>
      </c>
      <c r="D250" s="188" t="s">
        <v>431</v>
      </c>
      <c r="E250" s="188" t="s">
        <v>432</v>
      </c>
      <c r="F250" s="188" t="s">
        <v>521</v>
      </c>
      <c r="G250" s="195">
        <v>6405</v>
      </c>
      <c r="I250" s="195">
        <v>6405</v>
      </c>
    </row>
    <row r="251" spans="1:9" x14ac:dyDescent="0.2">
      <c r="A251" s="188" t="s">
        <v>520</v>
      </c>
      <c r="B251" s="194">
        <v>3011107</v>
      </c>
      <c r="D251" s="188" t="s">
        <v>433</v>
      </c>
      <c r="E251" s="188" t="s">
        <v>434</v>
      </c>
      <c r="F251" s="188" t="s">
        <v>521</v>
      </c>
      <c r="G251" s="195">
        <v>557</v>
      </c>
      <c r="I251" s="195">
        <v>557</v>
      </c>
    </row>
    <row r="252" spans="1:9" x14ac:dyDescent="0.2">
      <c r="A252" s="188" t="s">
        <v>520</v>
      </c>
      <c r="B252" s="194">
        <v>3011107</v>
      </c>
      <c r="D252" s="188" t="s">
        <v>528</v>
      </c>
      <c r="E252" s="188" t="s">
        <v>529</v>
      </c>
      <c r="F252" s="188" t="s">
        <v>521</v>
      </c>
      <c r="G252" s="195">
        <v>1149</v>
      </c>
      <c r="I252" s="195">
        <v>1149</v>
      </c>
    </row>
    <row r="253" spans="1:9" x14ac:dyDescent="0.2">
      <c r="A253" s="188" t="s">
        <v>520</v>
      </c>
      <c r="B253" s="188">
        <v>3011107</v>
      </c>
      <c r="D253" s="188" t="s">
        <v>406</v>
      </c>
      <c r="E253" s="188" t="s">
        <v>407</v>
      </c>
      <c r="F253" s="188" t="s">
        <v>521</v>
      </c>
      <c r="G253" s="195">
        <v>48</v>
      </c>
      <c r="I253" s="195">
        <v>48</v>
      </c>
    </row>
    <row r="254" spans="1:9" x14ac:dyDescent="0.2">
      <c r="A254" s="188" t="s">
        <v>520</v>
      </c>
      <c r="B254" s="194">
        <v>3011107</v>
      </c>
      <c r="D254" s="188" t="s">
        <v>530</v>
      </c>
      <c r="E254" s="188" t="s">
        <v>531</v>
      </c>
      <c r="F254" s="188" t="s">
        <v>521</v>
      </c>
      <c r="G254" s="195">
        <v>8234</v>
      </c>
      <c r="I254" s="195">
        <v>8234</v>
      </c>
    </row>
    <row r="255" spans="1:9" x14ac:dyDescent="0.2">
      <c r="A255" s="188" t="s">
        <v>520</v>
      </c>
      <c r="B255" s="194">
        <v>3011107</v>
      </c>
      <c r="D255" s="188" t="s">
        <v>496</v>
      </c>
      <c r="E255" s="188" t="s">
        <v>497</v>
      </c>
      <c r="F255" s="188" t="s">
        <v>521</v>
      </c>
      <c r="G255" s="195">
        <v>1672</v>
      </c>
      <c r="I255" s="195">
        <v>1672</v>
      </c>
    </row>
    <row r="256" spans="1:9" x14ac:dyDescent="0.2">
      <c r="A256" s="188" t="s">
        <v>520</v>
      </c>
      <c r="B256" s="194">
        <v>3011107</v>
      </c>
      <c r="D256" s="188" t="s">
        <v>377</v>
      </c>
      <c r="E256" s="188" t="s">
        <v>378</v>
      </c>
      <c r="F256" s="188" t="s">
        <v>521</v>
      </c>
      <c r="G256" s="195">
        <v>5166</v>
      </c>
      <c r="I256" s="195">
        <v>5166</v>
      </c>
    </row>
    <row r="257" spans="1:10" x14ac:dyDescent="0.2">
      <c r="A257" s="188" t="s">
        <v>520</v>
      </c>
      <c r="B257" s="188">
        <v>3011107</v>
      </c>
      <c r="D257" s="188" t="s">
        <v>382</v>
      </c>
      <c r="E257" s="188" t="s">
        <v>383</v>
      </c>
      <c r="F257" s="188" t="s">
        <v>521</v>
      </c>
      <c r="G257" s="195">
        <v>406</v>
      </c>
      <c r="J257" s="195">
        <v>406</v>
      </c>
    </row>
    <row r="258" spans="1:10" x14ac:dyDescent="0.2">
      <c r="A258" s="188" t="s">
        <v>520</v>
      </c>
      <c r="B258" s="188">
        <v>3011107</v>
      </c>
      <c r="D258" s="188" t="s">
        <v>384</v>
      </c>
      <c r="E258" s="188" t="s">
        <v>385</v>
      </c>
      <c r="F258" s="188" t="s">
        <v>521</v>
      </c>
      <c r="G258" s="195">
        <v>790</v>
      </c>
      <c r="J258" s="195">
        <v>790</v>
      </c>
    </row>
    <row r="259" spans="1:10" x14ac:dyDescent="0.2">
      <c r="A259" s="188" t="s">
        <v>520</v>
      </c>
      <c r="B259" s="188">
        <v>3011107</v>
      </c>
      <c r="D259" s="188" t="s">
        <v>388</v>
      </c>
      <c r="E259" s="188" t="s">
        <v>389</v>
      </c>
      <c r="F259" s="188" t="s">
        <v>521</v>
      </c>
      <c r="G259" s="195">
        <v>290</v>
      </c>
      <c r="J259" s="195">
        <v>290</v>
      </c>
    </row>
    <row r="260" spans="1:10" x14ac:dyDescent="0.2">
      <c r="A260" s="188" t="s">
        <v>520</v>
      </c>
      <c r="B260" s="188">
        <v>3011107</v>
      </c>
      <c r="D260" s="188" t="s">
        <v>408</v>
      </c>
      <c r="E260" s="188" t="s">
        <v>409</v>
      </c>
      <c r="F260" s="188" t="s">
        <v>521</v>
      </c>
      <c r="G260" s="195">
        <v>6326</v>
      </c>
      <c r="J260" s="195">
        <v>6326</v>
      </c>
    </row>
    <row r="261" spans="1:10" x14ac:dyDescent="0.2">
      <c r="A261" s="188" t="s">
        <v>520</v>
      </c>
      <c r="B261" s="188">
        <v>3011107</v>
      </c>
      <c r="D261" s="188" t="s">
        <v>392</v>
      </c>
      <c r="E261" s="188" t="s">
        <v>393</v>
      </c>
      <c r="F261" s="188" t="s">
        <v>521</v>
      </c>
      <c r="G261" s="195">
        <v>67</v>
      </c>
      <c r="J261" s="195">
        <v>67</v>
      </c>
    </row>
    <row r="262" spans="1:10" x14ac:dyDescent="0.2">
      <c r="A262" s="188" t="s">
        <v>520</v>
      </c>
      <c r="B262" s="188">
        <v>3011107</v>
      </c>
      <c r="D262" s="188" t="s">
        <v>394</v>
      </c>
      <c r="E262" s="188" t="s">
        <v>395</v>
      </c>
      <c r="F262" s="188" t="s">
        <v>521</v>
      </c>
      <c r="G262" s="195">
        <v>87</v>
      </c>
      <c r="J262" s="195">
        <v>87</v>
      </c>
    </row>
    <row r="263" spans="1:10" x14ac:dyDescent="0.2">
      <c r="A263" s="188" t="s">
        <v>520</v>
      </c>
      <c r="B263" s="188">
        <v>3011107</v>
      </c>
      <c r="D263" s="188" t="s">
        <v>396</v>
      </c>
      <c r="E263" s="188" t="s">
        <v>397</v>
      </c>
      <c r="F263" s="188" t="s">
        <v>521</v>
      </c>
      <c r="G263" s="195">
        <v>25</v>
      </c>
      <c r="J263" s="195">
        <v>25</v>
      </c>
    </row>
    <row r="264" spans="1:10" x14ac:dyDescent="0.2">
      <c r="A264" s="188" t="s">
        <v>520</v>
      </c>
      <c r="B264" s="194">
        <v>3011107</v>
      </c>
      <c r="D264" s="188" t="s">
        <v>532</v>
      </c>
      <c r="E264" s="188" t="s">
        <v>533</v>
      </c>
      <c r="F264" s="188" t="s">
        <v>521</v>
      </c>
      <c r="G264" s="195">
        <v>2691</v>
      </c>
      <c r="I264" s="195">
        <v>2691</v>
      </c>
    </row>
    <row r="265" spans="1:10" x14ac:dyDescent="0.2">
      <c r="A265" s="188" t="s">
        <v>520</v>
      </c>
      <c r="B265" s="194">
        <v>3011107</v>
      </c>
      <c r="D265" s="188" t="s">
        <v>509</v>
      </c>
      <c r="E265" s="188" t="s">
        <v>510</v>
      </c>
      <c r="F265" s="188" t="s">
        <v>521</v>
      </c>
      <c r="G265" s="195">
        <v>-2691</v>
      </c>
      <c r="I265" s="195">
        <v>-2691</v>
      </c>
    </row>
    <row r="266" spans="1:10" x14ac:dyDescent="0.2">
      <c r="A266" s="188" t="s">
        <v>534</v>
      </c>
      <c r="B266" s="194">
        <v>3011109</v>
      </c>
      <c r="D266" s="188" t="s">
        <v>419</v>
      </c>
      <c r="E266" s="188" t="s">
        <v>420</v>
      </c>
      <c r="F266" s="188" t="s">
        <v>521</v>
      </c>
      <c r="G266" s="195">
        <v>151922</v>
      </c>
      <c r="I266" s="195">
        <v>151922</v>
      </c>
    </row>
    <row r="267" spans="1:10" x14ac:dyDescent="0.2">
      <c r="A267" s="188" t="s">
        <v>534</v>
      </c>
      <c r="B267" s="194">
        <v>3011109</v>
      </c>
      <c r="D267" s="188" t="s">
        <v>421</v>
      </c>
      <c r="E267" s="188" t="s">
        <v>422</v>
      </c>
      <c r="F267" s="188" t="s">
        <v>521</v>
      </c>
      <c r="G267" s="195">
        <v>4001</v>
      </c>
      <c r="I267" s="195">
        <v>4001</v>
      </c>
    </row>
    <row r="268" spans="1:10" x14ac:dyDescent="0.2">
      <c r="A268" s="188" t="s">
        <v>534</v>
      </c>
      <c r="B268" s="194">
        <v>3011109</v>
      </c>
      <c r="D268" s="188" t="s">
        <v>423</v>
      </c>
      <c r="E268" s="188" t="s">
        <v>424</v>
      </c>
      <c r="F268" s="188" t="s">
        <v>521</v>
      </c>
      <c r="G268" s="195">
        <v>9062</v>
      </c>
      <c r="I268" s="195">
        <v>9062</v>
      </c>
    </row>
    <row r="269" spans="1:10" x14ac:dyDescent="0.2">
      <c r="A269" s="188" t="s">
        <v>534</v>
      </c>
      <c r="B269" s="194">
        <v>3011109</v>
      </c>
      <c r="D269" s="188" t="s">
        <v>431</v>
      </c>
      <c r="E269" s="188" t="s">
        <v>432</v>
      </c>
      <c r="F269" s="188" t="s">
        <v>521</v>
      </c>
      <c r="G269" s="195">
        <v>7275</v>
      </c>
      <c r="I269" s="195">
        <v>7275</v>
      </c>
    </row>
    <row r="270" spans="1:10" x14ac:dyDescent="0.2">
      <c r="A270" s="188" t="s">
        <v>534</v>
      </c>
      <c r="B270" s="194">
        <v>3011109</v>
      </c>
      <c r="D270" s="188" t="s">
        <v>433</v>
      </c>
      <c r="E270" s="188" t="s">
        <v>434</v>
      </c>
      <c r="F270" s="188" t="s">
        <v>521</v>
      </c>
      <c r="G270" s="195">
        <v>800</v>
      </c>
      <c r="I270" s="195">
        <v>800</v>
      </c>
    </row>
    <row r="271" spans="1:10" x14ac:dyDescent="0.2">
      <c r="A271" s="188" t="s">
        <v>534</v>
      </c>
      <c r="B271" s="194">
        <v>3011109</v>
      </c>
      <c r="D271" s="188" t="s">
        <v>528</v>
      </c>
      <c r="E271" s="188" t="s">
        <v>529</v>
      </c>
      <c r="F271" s="188" t="s">
        <v>521</v>
      </c>
      <c r="G271" s="195">
        <v>1167</v>
      </c>
      <c r="I271" s="195">
        <v>1167</v>
      </c>
    </row>
    <row r="272" spans="1:10" x14ac:dyDescent="0.2">
      <c r="A272" s="188" t="s">
        <v>534</v>
      </c>
      <c r="B272" s="194">
        <v>3011109</v>
      </c>
      <c r="D272" s="188" t="s">
        <v>490</v>
      </c>
      <c r="E272" s="188" t="s">
        <v>491</v>
      </c>
      <c r="F272" s="188" t="s">
        <v>521</v>
      </c>
      <c r="G272" s="195">
        <v>773</v>
      </c>
      <c r="I272" s="195">
        <v>773</v>
      </c>
    </row>
    <row r="273" spans="1:10" x14ac:dyDescent="0.2">
      <c r="A273" s="188" t="s">
        <v>534</v>
      </c>
      <c r="B273" s="188">
        <v>3011109</v>
      </c>
      <c r="D273" s="188" t="s">
        <v>406</v>
      </c>
      <c r="E273" s="188" t="s">
        <v>407</v>
      </c>
      <c r="F273" s="188" t="s">
        <v>521</v>
      </c>
      <c r="G273" s="195">
        <v>30</v>
      </c>
      <c r="I273" s="195">
        <v>30</v>
      </c>
    </row>
    <row r="274" spans="1:10" x14ac:dyDescent="0.2">
      <c r="A274" s="188" t="s">
        <v>534</v>
      </c>
      <c r="B274" s="194">
        <v>3011109</v>
      </c>
      <c r="D274" s="188" t="s">
        <v>535</v>
      </c>
      <c r="E274" s="188" t="s">
        <v>536</v>
      </c>
      <c r="F274" s="188" t="s">
        <v>521</v>
      </c>
      <c r="G274" s="195">
        <v>2205</v>
      </c>
      <c r="I274" s="195">
        <v>2205</v>
      </c>
    </row>
    <row r="275" spans="1:10" x14ac:dyDescent="0.2">
      <c r="A275" s="188" t="s">
        <v>534</v>
      </c>
      <c r="B275" s="194">
        <v>3011109</v>
      </c>
      <c r="D275" s="188" t="s">
        <v>443</v>
      </c>
      <c r="E275" s="188" t="s">
        <v>444</v>
      </c>
      <c r="F275" s="188" t="s">
        <v>521</v>
      </c>
      <c r="G275" s="195">
        <v>1811</v>
      </c>
      <c r="I275" s="195">
        <v>1811</v>
      </c>
    </row>
    <row r="276" spans="1:10" x14ac:dyDescent="0.2">
      <c r="A276" s="188" t="s">
        <v>534</v>
      </c>
      <c r="B276" s="194">
        <v>3011109</v>
      </c>
      <c r="D276" s="188" t="s">
        <v>460</v>
      </c>
      <c r="E276" s="188" t="s">
        <v>461</v>
      </c>
      <c r="F276" s="188" t="s">
        <v>521</v>
      </c>
      <c r="G276" s="195">
        <v>2585</v>
      </c>
      <c r="I276" s="195">
        <v>2585</v>
      </c>
    </row>
    <row r="277" spans="1:10" x14ac:dyDescent="0.2">
      <c r="A277" s="188" t="s">
        <v>534</v>
      </c>
      <c r="B277" s="194">
        <v>3011109</v>
      </c>
      <c r="D277" s="188" t="s">
        <v>498</v>
      </c>
      <c r="E277" s="188" t="s">
        <v>499</v>
      </c>
      <c r="F277" s="188" t="s">
        <v>521</v>
      </c>
      <c r="G277" s="195">
        <v>8399</v>
      </c>
      <c r="I277" s="195">
        <v>8399</v>
      </c>
    </row>
    <row r="278" spans="1:10" ht="38.25" x14ac:dyDescent="0.2">
      <c r="A278" s="188" t="s">
        <v>534</v>
      </c>
      <c r="B278" s="194">
        <v>3011109</v>
      </c>
      <c r="D278" s="188" t="s">
        <v>380</v>
      </c>
      <c r="E278" s="188" t="s">
        <v>381</v>
      </c>
      <c r="F278" s="188" t="s">
        <v>521</v>
      </c>
      <c r="G278" s="195">
        <v>216000</v>
      </c>
      <c r="H278" s="190" t="s">
        <v>537</v>
      </c>
      <c r="I278" s="195">
        <v>216000</v>
      </c>
    </row>
    <row r="279" spans="1:10" x14ac:dyDescent="0.2">
      <c r="A279" s="188" t="s">
        <v>534</v>
      </c>
      <c r="B279" s="188">
        <v>3011109</v>
      </c>
      <c r="D279" s="188" t="s">
        <v>382</v>
      </c>
      <c r="E279" s="188" t="s">
        <v>383</v>
      </c>
      <c r="F279" s="188" t="s">
        <v>521</v>
      </c>
      <c r="G279" s="195">
        <v>843</v>
      </c>
      <c r="J279" s="195">
        <v>843</v>
      </c>
    </row>
    <row r="280" spans="1:10" x14ac:dyDescent="0.2">
      <c r="A280" s="188" t="s">
        <v>534</v>
      </c>
      <c r="B280" s="188">
        <v>3011109</v>
      </c>
      <c r="D280" s="188" t="s">
        <v>452</v>
      </c>
      <c r="E280" s="188" t="s">
        <v>453</v>
      </c>
      <c r="F280" s="188" t="s">
        <v>521</v>
      </c>
      <c r="G280" s="195">
        <v>1</v>
      </c>
      <c r="J280" s="195">
        <v>1</v>
      </c>
    </row>
    <row r="281" spans="1:10" x14ac:dyDescent="0.2">
      <c r="A281" s="188" t="s">
        <v>534</v>
      </c>
      <c r="B281" s="188">
        <v>3011109</v>
      </c>
      <c r="D281" s="188" t="s">
        <v>384</v>
      </c>
      <c r="E281" s="188" t="s">
        <v>385</v>
      </c>
      <c r="F281" s="188" t="s">
        <v>521</v>
      </c>
      <c r="G281" s="195">
        <v>1640</v>
      </c>
      <c r="J281" s="195">
        <v>1640</v>
      </c>
    </row>
    <row r="282" spans="1:10" x14ac:dyDescent="0.2">
      <c r="A282" s="188" t="s">
        <v>534</v>
      </c>
      <c r="B282" s="188">
        <v>3011109</v>
      </c>
      <c r="D282" s="188" t="s">
        <v>386</v>
      </c>
      <c r="E282" s="188" t="s">
        <v>387</v>
      </c>
      <c r="F282" s="188" t="s">
        <v>521</v>
      </c>
      <c r="G282" s="195">
        <v>14</v>
      </c>
      <c r="J282" s="195">
        <v>14</v>
      </c>
    </row>
    <row r="283" spans="1:10" x14ac:dyDescent="0.2">
      <c r="A283" s="188" t="s">
        <v>534</v>
      </c>
      <c r="B283" s="188">
        <v>3011109</v>
      </c>
      <c r="D283" s="188" t="s">
        <v>388</v>
      </c>
      <c r="E283" s="188" t="s">
        <v>389</v>
      </c>
      <c r="F283" s="188" t="s">
        <v>521</v>
      </c>
      <c r="G283" s="195">
        <v>603</v>
      </c>
      <c r="J283" s="195">
        <v>603</v>
      </c>
    </row>
    <row r="284" spans="1:10" x14ac:dyDescent="0.2">
      <c r="A284" s="188" t="s">
        <v>534</v>
      </c>
      <c r="B284" s="188">
        <v>3011109</v>
      </c>
      <c r="D284" s="188" t="s">
        <v>390</v>
      </c>
      <c r="E284" s="188" t="s">
        <v>391</v>
      </c>
      <c r="F284" s="188" t="s">
        <v>521</v>
      </c>
      <c r="G284" s="195">
        <v>135</v>
      </c>
      <c r="J284" s="195">
        <v>135</v>
      </c>
    </row>
    <row r="285" spans="1:10" x14ac:dyDescent="0.2">
      <c r="A285" s="188" t="s">
        <v>534</v>
      </c>
      <c r="B285" s="188">
        <v>3011109</v>
      </c>
      <c r="D285" s="188" t="s">
        <v>408</v>
      </c>
      <c r="E285" s="188" t="s">
        <v>409</v>
      </c>
      <c r="F285" s="188" t="s">
        <v>521</v>
      </c>
      <c r="G285" s="195">
        <v>3913</v>
      </c>
      <c r="J285" s="195">
        <v>3913</v>
      </c>
    </row>
    <row r="286" spans="1:10" x14ac:dyDescent="0.2">
      <c r="A286" s="188" t="s">
        <v>534</v>
      </c>
      <c r="B286" s="188">
        <v>3011109</v>
      </c>
      <c r="D286" s="188" t="s">
        <v>392</v>
      </c>
      <c r="E286" s="188" t="s">
        <v>393</v>
      </c>
      <c r="F286" s="188" t="s">
        <v>521</v>
      </c>
      <c r="G286" s="195">
        <v>140</v>
      </c>
      <c r="J286" s="195">
        <v>140</v>
      </c>
    </row>
    <row r="287" spans="1:10" x14ac:dyDescent="0.2">
      <c r="A287" s="188" t="s">
        <v>534</v>
      </c>
      <c r="B287" s="188">
        <v>3011109</v>
      </c>
      <c r="D287" s="188" t="s">
        <v>394</v>
      </c>
      <c r="E287" s="188" t="s">
        <v>395</v>
      </c>
      <c r="F287" s="188" t="s">
        <v>521</v>
      </c>
      <c r="G287" s="195">
        <v>180</v>
      </c>
      <c r="J287" s="195">
        <v>180</v>
      </c>
    </row>
    <row r="288" spans="1:10" x14ac:dyDescent="0.2">
      <c r="A288" s="188" t="s">
        <v>534</v>
      </c>
      <c r="B288" s="188">
        <v>3011109</v>
      </c>
      <c r="D288" s="188" t="s">
        <v>396</v>
      </c>
      <c r="E288" s="188" t="s">
        <v>397</v>
      </c>
      <c r="F288" s="188" t="s">
        <v>521</v>
      </c>
      <c r="G288" s="195">
        <v>51</v>
      </c>
      <c r="J288" s="195">
        <v>51</v>
      </c>
    </row>
    <row r="289" spans="1:10" x14ac:dyDescent="0.2">
      <c r="A289" s="188" t="s">
        <v>258</v>
      </c>
      <c r="B289" s="188">
        <v>3011209</v>
      </c>
      <c r="D289" s="188" t="s">
        <v>406</v>
      </c>
      <c r="E289" s="188" t="s">
        <v>407</v>
      </c>
      <c r="F289" s="188" t="s">
        <v>521</v>
      </c>
      <c r="G289" s="195">
        <v>14</v>
      </c>
      <c r="J289" s="195">
        <v>14</v>
      </c>
    </row>
    <row r="290" spans="1:10" x14ac:dyDescent="0.2">
      <c r="A290" s="188" t="s">
        <v>258</v>
      </c>
      <c r="B290" s="188">
        <v>3011209</v>
      </c>
      <c r="D290" s="188" t="s">
        <v>390</v>
      </c>
      <c r="E290" s="188" t="s">
        <v>391</v>
      </c>
      <c r="F290" s="188" t="s">
        <v>521</v>
      </c>
      <c r="G290" s="195">
        <v>3</v>
      </c>
      <c r="J290" s="195">
        <v>3</v>
      </c>
    </row>
    <row r="291" spans="1:10" x14ac:dyDescent="0.2">
      <c r="A291" s="188" t="s">
        <v>258</v>
      </c>
      <c r="B291" s="188">
        <v>3011209</v>
      </c>
      <c r="D291" s="188" t="s">
        <v>408</v>
      </c>
      <c r="E291" s="188" t="s">
        <v>409</v>
      </c>
      <c r="F291" s="188" t="s">
        <v>521</v>
      </c>
      <c r="G291" s="195">
        <v>1877</v>
      </c>
      <c r="J291" s="195">
        <v>1877</v>
      </c>
    </row>
    <row r="292" spans="1:10" x14ac:dyDescent="0.2">
      <c r="A292" s="188" t="s">
        <v>258</v>
      </c>
      <c r="B292" s="188">
        <v>3011209</v>
      </c>
      <c r="D292" s="188" t="s">
        <v>454</v>
      </c>
      <c r="E292" s="188" t="s">
        <v>455</v>
      </c>
      <c r="F292" s="188" t="s">
        <v>521</v>
      </c>
      <c r="G292" s="195">
        <v>89</v>
      </c>
      <c r="J292" s="195">
        <v>89</v>
      </c>
    </row>
    <row r="293" spans="1:10" x14ac:dyDescent="0.2">
      <c r="A293" s="188" t="s">
        <v>538</v>
      </c>
      <c r="B293" s="188">
        <v>3011210</v>
      </c>
      <c r="D293" s="188" t="s">
        <v>406</v>
      </c>
      <c r="E293" s="188" t="s">
        <v>407</v>
      </c>
      <c r="F293" s="188" t="s">
        <v>521</v>
      </c>
      <c r="G293" s="195">
        <v>4</v>
      </c>
      <c r="J293" s="195">
        <v>4</v>
      </c>
    </row>
    <row r="294" spans="1:10" x14ac:dyDescent="0.2">
      <c r="A294" s="188" t="s">
        <v>538</v>
      </c>
      <c r="B294" s="188">
        <v>3011210</v>
      </c>
      <c r="D294" s="188" t="s">
        <v>408</v>
      </c>
      <c r="E294" s="188" t="s">
        <v>409</v>
      </c>
      <c r="F294" s="188" t="s">
        <v>521</v>
      </c>
      <c r="G294" s="195">
        <v>573</v>
      </c>
      <c r="J294" s="195">
        <v>573</v>
      </c>
    </row>
    <row r="295" spans="1:10" x14ac:dyDescent="0.2">
      <c r="A295" s="188" t="s">
        <v>539</v>
      </c>
      <c r="G295" s="195">
        <v>-284146</v>
      </c>
      <c r="I295" s="195">
        <v>-284146</v>
      </c>
    </row>
    <row r="297" spans="1:10" x14ac:dyDescent="0.2">
      <c r="G297" s="195">
        <v>330149</v>
      </c>
    </row>
    <row r="299" spans="1:10" x14ac:dyDescent="0.2">
      <c r="A299" s="242" t="s">
        <v>540</v>
      </c>
      <c r="B299" s="192"/>
      <c r="C299" s="192"/>
      <c r="D299" s="192"/>
      <c r="E299" s="192"/>
      <c r="F299" s="192"/>
      <c r="G299" s="193">
        <v>87469</v>
      </c>
    </row>
    <row r="301" spans="1:10" x14ac:dyDescent="0.2">
      <c r="A301" s="196" t="s">
        <v>541</v>
      </c>
      <c r="F301" s="188" t="s">
        <v>348</v>
      </c>
      <c r="G301" s="199">
        <v>87469</v>
      </c>
      <c r="I301" s="199">
        <v>87469</v>
      </c>
    </row>
    <row r="303" spans="1:10" x14ac:dyDescent="0.2">
      <c r="A303" s="242" t="s">
        <v>542</v>
      </c>
      <c r="B303" s="192"/>
      <c r="C303" s="192"/>
      <c r="D303" s="192"/>
      <c r="E303" s="192"/>
      <c r="F303" s="192"/>
      <c r="G303" s="193">
        <v>487719</v>
      </c>
    </row>
    <row r="305" spans="1:10" x14ac:dyDescent="0.2">
      <c r="A305" s="188" t="s">
        <v>543</v>
      </c>
      <c r="B305" s="188">
        <v>3005101</v>
      </c>
      <c r="D305" s="188" t="s">
        <v>544</v>
      </c>
      <c r="E305" s="188" t="s">
        <v>545</v>
      </c>
      <c r="F305" s="188" t="s">
        <v>546</v>
      </c>
      <c r="G305" s="195">
        <v>3047</v>
      </c>
      <c r="J305" s="195">
        <v>3047</v>
      </c>
    </row>
    <row r="306" spans="1:10" x14ac:dyDescent="0.2">
      <c r="A306" s="188" t="s">
        <v>543</v>
      </c>
      <c r="B306" s="188">
        <v>3005101</v>
      </c>
      <c r="D306" s="188" t="s">
        <v>547</v>
      </c>
      <c r="E306" s="188" t="s">
        <v>548</v>
      </c>
      <c r="F306" s="188" t="s">
        <v>546</v>
      </c>
      <c r="G306" s="195">
        <v>8071</v>
      </c>
      <c r="J306" s="195">
        <v>8071</v>
      </c>
    </row>
    <row r="307" spans="1:10" x14ac:dyDescent="0.2">
      <c r="A307" s="188" t="s">
        <v>549</v>
      </c>
      <c r="B307" s="188">
        <v>3002101</v>
      </c>
      <c r="D307" s="188" t="s">
        <v>544</v>
      </c>
      <c r="E307" s="188" t="s">
        <v>545</v>
      </c>
      <c r="F307" s="188" t="s">
        <v>550</v>
      </c>
      <c r="G307" s="195">
        <v>49491</v>
      </c>
      <c r="J307" s="195">
        <v>49491</v>
      </c>
    </row>
    <row r="308" spans="1:10" x14ac:dyDescent="0.2">
      <c r="A308" s="188" t="s">
        <v>549</v>
      </c>
      <c r="B308" s="188">
        <v>3002101</v>
      </c>
      <c r="D308" s="188" t="s">
        <v>547</v>
      </c>
      <c r="E308" s="188" t="s">
        <v>548</v>
      </c>
      <c r="F308" s="188" t="s">
        <v>550</v>
      </c>
      <c r="G308" s="195">
        <v>205106</v>
      </c>
      <c r="J308" s="195">
        <v>205106</v>
      </c>
    </row>
    <row r="309" spans="1:10" x14ac:dyDescent="0.2">
      <c r="A309" s="188" t="s">
        <v>551</v>
      </c>
      <c r="B309" s="188">
        <v>3014103</v>
      </c>
      <c r="D309" s="188" t="s">
        <v>547</v>
      </c>
      <c r="E309" s="188" t="s">
        <v>548</v>
      </c>
      <c r="F309" s="188" t="s">
        <v>550</v>
      </c>
      <c r="G309" s="195">
        <v>1412</v>
      </c>
      <c r="J309" s="195">
        <v>1412</v>
      </c>
    </row>
    <row r="310" spans="1:10" x14ac:dyDescent="0.2">
      <c r="A310" s="188" t="s">
        <v>552</v>
      </c>
      <c r="B310" s="188">
        <v>3003101</v>
      </c>
      <c r="D310" s="188" t="s">
        <v>544</v>
      </c>
      <c r="E310" s="188" t="s">
        <v>545</v>
      </c>
      <c r="F310" s="188" t="s">
        <v>553</v>
      </c>
      <c r="G310" s="195">
        <v>64267</v>
      </c>
      <c r="J310" s="195">
        <v>64267</v>
      </c>
    </row>
    <row r="311" spans="1:10" x14ac:dyDescent="0.2">
      <c r="A311" s="188" t="s">
        <v>552</v>
      </c>
      <c r="B311" s="188">
        <v>3003101</v>
      </c>
      <c r="D311" s="188" t="s">
        <v>547</v>
      </c>
      <c r="E311" s="188" t="s">
        <v>548</v>
      </c>
      <c r="F311" s="188" t="s">
        <v>553</v>
      </c>
      <c r="G311" s="195">
        <v>110417</v>
      </c>
      <c r="J311" s="195">
        <v>110417</v>
      </c>
    </row>
    <row r="312" spans="1:10" x14ac:dyDescent="0.2">
      <c r="A312" s="188" t="s">
        <v>554</v>
      </c>
      <c r="B312" s="188">
        <v>3014104</v>
      </c>
      <c r="D312" s="188" t="s">
        <v>544</v>
      </c>
      <c r="E312" s="188" t="s">
        <v>545</v>
      </c>
      <c r="F312" s="188" t="s">
        <v>553</v>
      </c>
      <c r="G312" s="195">
        <v>10723</v>
      </c>
      <c r="J312" s="195">
        <v>10723</v>
      </c>
    </row>
    <row r="313" spans="1:10" x14ac:dyDescent="0.2">
      <c r="A313" s="188" t="s">
        <v>554</v>
      </c>
      <c r="B313" s="188">
        <v>3014104</v>
      </c>
      <c r="D313" s="188" t="s">
        <v>547</v>
      </c>
      <c r="E313" s="188" t="s">
        <v>548</v>
      </c>
      <c r="F313" s="188" t="s">
        <v>553</v>
      </c>
      <c r="G313" s="195">
        <v>7074</v>
      </c>
      <c r="J313" s="195">
        <v>7074</v>
      </c>
    </row>
    <row r="314" spans="1:10" x14ac:dyDescent="0.2">
      <c r="A314" s="188" t="s">
        <v>515</v>
      </c>
      <c r="B314" s="188">
        <v>3014109</v>
      </c>
      <c r="D314" s="188" t="s">
        <v>547</v>
      </c>
      <c r="E314" s="188" t="s">
        <v>548</v>
      </c>
      <c r="F314" s="188" t="s">
        <v>553</v>
      </c>
      <c r="G314" s="195">
        <v>299</v>
      </c>
      <c r="J314" s="195">
        <v>299</v>
      </c>
    </row>
    <row r="315" spans="1:10" x14ac:dyDescent="0.2">
      <c r="A315" s="188" t="s">
        <v>555</v>
      </c>
      <c r="B315" s="188">
        <v>3014112</v>
      </c>
      <c r="D315" s="188" t="s">
        <v>547</v>
      </c>
      <c r="E315" s="188" t="s">
        <v>548</v>
      </c>
      <c r="F315" s="188" t="s">
        <v>553</v>
      </c>
      <c r="G315" s="195">
        <v>88</v>
      </c>
      <c r="J315" s="195">
        <v>88</v>
      </c>
    </row>
    <row r="316" spans="1:10" x14ac:dyDescent="0.2">
      <c r="A316" s="188" t="s">
        <v>556</v>
      </c>
      <c r="B316" s="188">
        <v>3024101</v>
      </c>
      <c r="D316" s="188" t="s">
        <v>547</v>
      </c>
      <c r="E316" s="188" t="s">
        <v>548</v>
      </c>
      <c r="F316" s="188" t="s">
        <v>553</v>
      </c>
      <c r="G316" s="195">
        <v>440</v>
      </c>
      <c r="J316" s="195">
        <v>440</v>
      </c>
    </row>
    <row r="317" spans="1:10" x14ac:dyDescent="0.2">
      <c r="A317" s="188" t="s">
        <v>517</v>
      </c>
      <c r="B317" s="188">
        <v>3045801</v>
      </c>
      <c r="D317" s="188" t="s">
        <v>547</v>
      </c>
      <c r="E317" s="188" t="s">
        <v>548</v>
      </c>
      <c r="F317" s="188" t="s">
        <v>553</v>
      </c>
      <c r="G317" s="195">
        <v>317</v>
      </c>
      <c r="J317" s="195">
        <v>317</v>
      </c>
    </row>
    <row r="318" spans="1:10" x14ac:dyDescent="0.2">
      <c r="A318" s="188" t="s">
        <v>557</v>
      </c>
      <c r="B318" s="188">
        <v>3004101</v>
      </c>
      <c r="D318" s="188" t="s">
        <v>544</v>
      </c>
      <c r="E318" s="188" t="s">
        <v>545</v>
      </c>
      <c r="F318" s="188" t="s">
        <v>558</v>
      </c>
      <c r="G318" s="195">
        <v>4918</v>
      </c>
      <c r="J318" s="195">
        <v>4918</v>
      </c>
    </row>
    <row r="319" spans="1:10" x14ac:dyDescent="0.2">
      <c r="A319" s="188" t="s">
        <v>557</v>
      </c>
      <c r="B319" s="188">
        <v>3004101</v>
      </c>
      <c r="D319" s="188" t="s">
        <v>547</v>
      </c>
      <c r="E319" s="188" t="s">
        <v>548</v>
      </c>
      <c r="F319" s="188" t="s">
        <v>558</v>
      </c>
      <c r="G319" s="195">
        <v>22049</v>
      </c>
      <c r="J319" s="195">
        <v>22049</v>
      </c>
    </row>
    <row r="321" spans="1:10" x14ac:dyDescent="0.2">
      <c r="G321" s="195">
        <v>487719</v>
      </c>
    </row>
    <row r="323" spans="1:10" x14ac:dyDescent="0.2">
      <c r="A323" s="242" t="s">
        <v>559</v>
      </c>
      <c r="B323" s="192"/>
      <c r="C323" s="192"/>
      <c r="D323" s="192"/>
      <c r="E323" s="192"/>
      <c r="F323" s="192"/>
      <c r="G323" s="193">
        <v>41818</v>
      </c>
    </row>
    <row r="325" spans="1:10" x14ac:dyDescent="0.2">
      <c r="A325" s="196" t="s">
        <v>560</v>
      </c>
      <c r="F325" s="188" t="s">
        <v>350</v>
      </c>
      <c r="G325" s="199">
        <v>41818</v>
      </c>
      <c r="I325" s="199">
        <v>41818</v>
      </c>
    </row>
    <row r="327" spans="1:10" x14ac:dyDescent="0.2">
      <c r="A327" s="242" t="s">
        <v>561</v>
      </c>
      <c r="B327" s="192"/>
      <c r="C327" s="192"/>
      <c r="D327" s="192"/>
      <c r="E327" s="192"/>
      <c r="F327" s="192"/>
      <c r="G327" s="193">
        <v>108597.00000000001</v>
      </c>
    </row>
    <row r="329" spans="1:10" x14ac:dyDescent="0.2">
      <c r="A329" s="188" t="s">
        <v>562</v>
      </c>
      <c r="B329" s="194">
        <v>3053103</v>
      </c>
      <c r="D329" s="188" t="s">
        <v>500</v>
      </c>
      <c r="E329" s="188" t="s">
        <v>501</v>
      </c>
      <c r="F329" s="188" t="s">
        <v>563</v>
      </c>
      <c r="G329" s="195">
        <v>104703</v>
      </c>
      <c r="I329" s="195">
        <v>104703</v>
      </c>
    </row>
    <row r="330" spans="1:10" x14ac:dyDescent="0.2">
      <c r="A330" s="188" t="s">
        <v>562</v>
      </c>
      <c r="B330" s="194">
        <v>3053103</v>
      </c>
      <c r="D330" s="188" t="s">
        <v>380</v>
      </c>
      <c r="E330" s="188" t="s">
        <v>381</v>
      </c>
      <c r="F330" s="188" t="s">
        <v>563</v>
      </c>
      <c r="G330" s="195">
        <v>2958</v>
      </c>
      <c r="I330" s="195">
        <v>2958</v>
      </c>
    </row>
    <row r="331" spans="1:10" x14ac:dyDescent="0.2">
      <c r="A331" s="188" t="s">
        <v>562</v>
      </c>
      <c r="B331" s="188">
        <v>3053103</v>
      </c>
      <c r="D331" s="188" t="s">
        <v>382</v>
      </c>
      <c r="E331" s="188" t="s">
        <v>383</v>
      </c>
      <c r="F331" s="188" t="s">
        <v>563</v>
      </c>
      <c r="G331" s="195">
        <v>224</v>
      </c>
      <c r="J331" s="195">
        <v>224</v>
      </c>
    </row>
    <row r="332" spans="1:10" x14ac:dyDescent="0.2">
      <c r="A332" s="188" t="s">
        <v>562</v>
      </c>
      <c r="B332" s="188">
        <v>3053103</v>
      </c>
      <c r="D332" s="188" t="s">
        <v>384</v>
      </c>
      <c r="E332" s="188" t="s">
        <v>385</v>
      </c>
      <c r="F332" s="188" t="s">
        <v>563</v>
      </c>
      <c r="G332" s="195">
        <v>435</v>
      </c>
      <c r="J332" s="195">
        <v>435</v>
      </c>
    </row>
    <row r="333" spans="1:10" x14ac:dyDescent="0.2">
      <c r="A333" s="188" t="s">
        <v>562</v>
      </c>
      <c r="B333" s="188">
        <v>3053103</v>
      </c>
      <c r="D333" s="188" t="s">
        <v>386</v>
      </c>
      <c r="E333" s="188" t="s">
        <v>387</v>
      </c>
      <c r="F333" s="188" t="s">
        <v>563</v>
      </c>
      <c r="G333" s="195">
        <v>2</v>
      </c>
      <c r="J333" s="195">
        <v>2</v>
      </c>
    </row>
    <row r="334" spans="1:10" x14ac:dyDescent="0.2">
      <c r="A334" s="188" t="s">
        <v>562</v>
      </c>
      <c r="B334" s="188">
        <v>3053103</v>
      </c>
      <c r="D334" s="188" t="s">
        <v>388</v>
      </c>
      <c r="E334" s="188" t="s">
        <v>389</v>
      </c>
      <c r="F334" s="188" t="s">
        <v>563</v>
      </c>
      <c r="G334" s="195">
        <v>160</v>
      </c>
      <c r="J334" s="195">
        <v>160</v>
      </c>
    </row>
    <row r="335" spans="1:10" x14ac:dyDescent="0.2">
      <c r="A335" s="188" t="s">
        <v>562</v>
      </c>
      <c r="B335" s="188">
        <v>3053103</v>
      </c>
      <c r="D335" s="188" t="s">
        <v>390</v>
      </c>
      <c r="E335" s="188" t="s">
        <v>391</v>
      </c>
      <c r="F335" s="188" t="s">
        <v>563</v>
      </c>
      <c r="G335" s="195">
        <v>16</v>
      </c>
      <c r="J335" s="195">
        <v>16</v>
      </c>
    </row>
    <row r="336" spans="1:10" x14ac:dyDescent="0.2">
      <c r="A336" s="188" t="s">
        <v>562</v>
      </c>
      <c r="B336" s="188">
        <v>3053103</v>
      </c>
      <c r="D336" s="188" t="s">
        <v>392</v>
      </c>
      <c r="E336" s="188" t="s">
        <v>393</v>
      </c>
      <c r="F336" s="188" t="s">
        <v>563</v>
      </c>
      <c r="G336" s="195">
        <v>37</v>
      </c>
      <c r="J336" s="195">
        <v>37</v>
      </c>
    </row>
    <row r="337" spans="1:10" x14ac:dyDescent="0.2">
      <c r="A337" s="188" t="s">
        <v>562</v>
      </c>
      <c r="B337" s="188">
        <v>3053103</v>
      </c>
      <c r="D337" s="188" t="s">
        <v>394</v>
      </c>
      <c r="E337" s="188" t="s">
        <v>395</v>
      </c>
      <c r="F337" s="188" t="s">
        <v>563</v>
      </c>
      <c r="G337" s="195">
        <v>48</v>
      </c>
      <c r="J337" s="195">
        <v>48</v>
      </c>
    </row>
    <row r="338" spans="1:10" x14ac:dyDescent="0.2">
      <c r="A338" s="188" t="s">
        <v>562</v>
      </c>
      <c r="B338" s="188">
        <v>3053103</v>
      </c>
      <c r="D338" s="188" t="s">
        <v>396</v>
      </c>
      <c r="E338" s="188" t="s">
        <v>397</v>
      </c>
      <c r="F338" s="188" t="s">
        <v>563</v>
      </c>
      <c r="G338" s="195">
        <v>14</v>
      </c>
      <c r="J338" s="195">
        <v>14</v>
      </c>
    </row>
    <row r="340" spans="1:10" x14ac:dyDescent="0.2">
      <c r="G340" s="195">
        <v>108597</v>
      </c>
    </row>
    <row r="341" spans="1:10" x14ac:dyDescent="0.2">
      <c r="A341" s="192"/>
      <c r="B341" s="192"/>
      <c r="C341" s="192"/>
      <c r="D341" s="192"/>
      <c r="E341" s="192"/>
      <c r="F341" s="192"/>
      <c r="G341" s="192"/>
    </row>
    <row r="342" spans="1:10" ht="25.5" x14ac:dyDescent="0.2">
      <c r="A342" s="242" t="s">
        <v>564</v>
      </c>
      <c r="B342" s="192"/>
      <c r="C342" s="192"/>
      <c r="D342" s="192"/>
      <c r="E342" s="192"/>
      <c r="F342" s="192"/>
      <c r="G342" s="193">
        <v>608602</v>
      </c>
    </row>
    <row r="344" spans="1:10" x14ac:dyDescent="0.2">
      <c r="A344" s="188" t="s">
        <v>565</v>
      </c>
      <c r="B344" s="194">
        <v>3056101</v>
      </c>
      <c r="D344" s="188" t="s">
        <v>522</v>
      </c>
      <c r="E344" s="188" t="s">
        <v>523</v>
      </c>
      <c r="F344" s="188" t="s">
        <v>566</v>
      </c>
      <c r="G344" s="195">
        <v>341191</v>
      </c>
      <c r="I344" s="195">
        <v>341191</v>
      </c>
    </row>
    <row r="345" spans="1:10" x14ac:dyDescent="0.2">
      <c r="A345" s="188" t="s">
        <v>565</v>
      </c>
      <c r="B345" s="194">
        <v>3056101</v>
      </c>
      <c r="D345" s="188" t="s">
        <v>524</v>
      </c>
      <c r="E345" s="188" t="s">
        <v>525</v>
      </c>
      <c r="F345" s="188" t="s">
        <v>566</v>
      </c>
      <c r="G345" s="195">
        <v>12022</v>
      </c>
      <c r="I345" s="195">
        <v>12022</v>
      </c>
    </row>
    <row r="346" spans="1:10" x14ac:dyDescent="0.2">
      <c r="A346" s="188" t="s">
        <v>565</v>
      </c>
      <c r="B346" s="194">
        <v>3056101</v>
      </c>
      <c r="D346" s="188" t="s">
        <v>567</v>
      </c>
      <c r="E346" s="188" t="s">
        <v>568</v>
      </c>
      <c r="F346" s="188" t="s">
        <v>566</v>
      </c>
      <c r="G346" s="195">
        <v>34741</v>
      </c>
      <c r="I346" s="195">
        <v>34741</v>
      </c>
    </row>
    <row r="347" spans="1:10" x14ac:dyDescent="0.2">
      <c r="A347" s="188" t="s">
        <v>565</v>
      </c>
      <c r="B347" s="194">
        <v>3056101</v>
      </c>
      <c r="D347" s="188" t="s">
        <v>569</v>
      </c>
      <c r="E347" s="188" t="s">
        <v>570</v>
      </c>
      <c r="F347" s="188" t="s">
        <v>566</v>
      </c>
      <c r="G347" s="195">
        <v>5160</v>
      </c>
      <c r="I347" s="195">
        <v>5160</v>
      </c>
    </row>
    <row r="348" spans="1:10" x14ac:dyDescent="0.2">
      <c r="A348" s="188" t="s">
        <v>565</v>
      </c>
      <c r="B348" s="194">
        <v>3056101</v>
      </c>
      <c r="D348" s="188" t="s">
        <v>425</v>
      </c>
      <c r="E348" s="188" t="s">
        <v>426</v>
      </c>
      <c r="F348" s="188" t="s">
        <v>566</v>
      </c>
      <c r="G348" s="195">
        <v>890</v>
      </c>
      <c r="I348" s="195">
        <v>890</v>
      </c>
    </row>
    <row r="349" spans="1:10" x14ac:dyDescent="0.2">
      <c r="A349" s="188" t="s">
        <v>565</v>
      </c>
      <c r="B349" s="194">
        <v>3056101</v>
      </c>
      <c r="D349" s="188" t="s">
        <v>571</v>
      </c>
      <c r="E349" s="188" t="s">
        <v>572</v>
      </c>
      <c r="F349" s="188" t="s">
        <v>566</v>
      </c>
      <c r="G349" s="195">
        <v>16240</v>
      </c>
      <c r="I349" s="195">
        <v>16240</v>
      </c>
    </row>
    <row r="350" spans="1:10" x14ac:dyDescent="0.2">
      <c r="A350" s="188" t="s">
        <v>565</v>
      </c>
      <c r="B350" s="188">
        <v>3056101</v>
      </c>
      <c r="D350" s="188" t="s">
        <v>382</v>
      </c>
      <c r="E350" s="188" t="s">
        <v>383</v>
      </c>
      <c r="F350" s="188" t="s">
        <v>566</v>
      </c>
      <c r="G350" s="195">
        <v>852</v>
      </c>
      <c r="J350" s="195">
        <v>852</v>
      </c>
    </row>
    <row r="351" spans="1:10" x14ac:dyDescent="0.2">
      <c r="A351" s="188" t="s">
        <v>565</v>
      </c>
      <c r="B351" s="188">
        <v>3056101</v>
      </c>
      <c r="D351" s="188" t="s">
        <v>384</v>
      </c>
      <c r="E351" s="188" t="s">
        <v>385</v>
      </c>
      <c r="F351" s="188" t="s">
        <v>566</v>
      </c>
      <c r="G351" s="195">
        <v>1657</v>
      </c>
      <c r="J351" s="195">
        <v>1657</v>
      </c>
    </row>
    <row r="352" spans="1:10" x14ac:dyDescent="0.2">
      <c r="A352" s="188" t="s">
        <v>565</v>
      </c>
      <c r="B352" s="188">
        <v>3056101</v>
      </c>
      <c r="D352" s="188" t="s">
        <v>388</v>
      </c>
      <c r="E352" s="188" t="s">
        <v>389</v>
      </c>
      <c r="F352" s="188" t="s">
        <v>566</v>
      </c>
      <c r="G352" s="195">
        <v>609</v>
      </c>
      <c r="J352" s="195">
        <v>609</v>
      </c>
    </row>
    <row r="353" spans="1:10" x14ac:dyDescent="0.2">
      <c r="A353" s="188" t="s">
        <v>565</v>
      </c>
      <c r="B353" s="188">
        <v>3056101</v>
      </c>
      <c r="D353" s="188" t="s">
        <v>392</v>
      </c>
      <c r="E353" s="188" t="s">
        <v>393</v>
      </c>
      <c r="F353" s="188" t="s">
        <v>566</v>
      </c>
      <c r="G353" s="195">
        <v>141</v>
      </c>
      <c r="J353" s="195">
        <v>141</v>
      </c>
    </row>
    <row r="354" spans="1:10" x14ac:dyDescent="0.2">
      <c r="A354" s="188" t="s">
        <v>565</v>
      </c>
      <c r="B354" s="188">
        <v>3056101</v>
      </c>
      <c r="D354" s="188" t="s">
        <v>394</v>
      </c>
      <c r="E354" s="188" t="s">
        <v>395</v>
      </c>
      <c r="F354" s="188" t="s">
        <v>566</v>
      </c>
      <c r="G354" s="195">
        <v>182</v>
      </c>
      <c r="J354" s="195">
        <v>182</v>
      </c>
    </row>
    <row r="355" spans="1:10" x14ac:dyDescent="0.2">
      <c r="A355" s="188" t="s">
        <v>565</v>
      </c>
      <c r="B355" s="188">
        <v>3056101</v>
      </c>
      <c r="D355" s="188" t="s">
        <v>396</v>
      </c>
      <c r="E355" s="188" t="s">
        <v>397</v>
      </c>
      <c r="F355" s="188" t="s">
        <v>566</v>
      </c>
      <c r="G355" s="195">
        <v>52</v>
      </c>
      <c r="J355" s="195">
        <v>52</v>
      </c>
    </row>
    <row r="356" spans="1:10" x14ac:dyDescent="0.2">
      <c r="A356" s="188" t="s">
        <v>565</v>
      </c>
      <c r="B356" s="194">
        <v>3056103</v>
      </c>
      <c r="D356" s="188" t="s">
        <v>567</v>
      </c>
      <c r="E356" s="188" t="s">
        <v>568</v>
      </c>
      <c r="F356" s="188" t="s">
        <v>566</v>
      </c>
      <c r="G356" s="195">
        <v>2145</v>
      </c>
      <c r="I356" s="195">
        <v>2145</v>
      </c>
    </row>
    <row r="357" spans="1:10" x14ac:dyDescent="0.2">
      <c r="A357" s="188" t="s">
        <v>573</v>
      </c>
      <c r="B357" s="194">
        <v>3056102</v>
      </c>
      <c r="D357" s="188" t="s">
        <v>412</v>
      </c>
      <c r="E357" s="188" t="s">
        <v>413</v>
      </c>
      <c r="F357" s="188" t="s">
        <v>574</v>
      </c>
      <c r="G357" s="195">
        <v>12335</v>
      </c>
      <c r="I357" s="195">
        <v>12335</v>
      </c>
    </row>
    <row r="358" spans="1:10" x14ac:dyDescent="0.2">
      <c r="A358" s="188" t="s">
        <v>573</v>
      </c>
      <c r="B358" s="194">
        <v>3056102</v>
      </c>
      <c r="D358" s="188" t="s">
        <v>522</v>
      </c>
      <c r="E358" s="188" t="s">
        <v>523</v>
      </c>
      <c r="F358" s="188" t="s">
        <v>574</v>
      </c>
      <c r="G358" s="195">
        <v>53041</v>
      </c>
      <c r="I358" s="195">
        <v>53041</v>
      </c>
    </row>
    <row r="359" spans="1:10" x14ac:dyDescent="0.2">
      <c r="A359" s="188" t="s">
        <v>573</v>
      </c>
      <c r="B359" s="194">
        <v>3056102</v>
      </c>
      <c r="D359" s="188" t="s">
        <v>524</v>
      </c>
      <c r="E359" s="188" t="s">
        <v>525</v>
      </c>
      <c r="F359" s="188" t="s">
        <v>574</v>
      </c>
      <c r="G359" s="195">
        <v>6768</v>
      </c>
      <c r="I359" s="195">
        <v>6768</v>
      </c>
    </row>
    <row r="360" spans="1:10" x14ac:dyDescent="0.2">
      <c r="A360" s="188" t="s">
        <v>573</v>
      </c>
      <c r="B360" s="194">
        <v>3056102</v>
      </c>
      <c r="D360" s="188" t="s">
        <v>567</v>
      </c>
      <c r="E360" s="188" t="s">
        <v>568</v>
      </c>
      <c r="F360" s="188" t="s">
        <v>574</v>
      </c>
      <c r="G360" s="195">
        <v>1806</v>
      </c>
      <c r="I360" s="195">
        <v>1806</v>
      </c>
    </row>
    <row r="361" spans="1:10" x14ac:dyDescent="0.2">
      <c r="A361" s="188" t="s">
        <v>573</v>
      </c>
      <c r="B361" s="194">
        <v>3056102</v>
      </c>
      <c r="D361" s="188" t="s">
        <v>425</v>
      </c>
      <c r="E361" s="188" t="s">
        <v>426</v>
      </c>
      <c r="F361" s="188" t="s">
        <v>574</v>
      </c>
      <c r="G361" s="195">
        <v>291</v>
      </c>
      <c r="I361" s="195">
        <v>291</v>
      </c>
    </row>
    <row r="362" spans="1:10" x14ac:dyDescent="0.2">
      <c r="A362" s="188" t="s">
        <v>573</v>
      </c>
      <c r="B362" s="188">
        <v>3056102</v>
      </c>
      <c r="D362" s="188" t="s">
        <v>382</v>
      </c>
      <c r="E362" s="188" t="s">
        <v>383</v>
      </c>
      <c r="F362" s="188" t="s">
        <v>574</v>
      </c>
      <c r="G362" s="195">
        <v>154</v>
      </c>
      <c r="J362" s="195">
        <v>154</v>
      </c>
    </row>
    <row r="363" spans="1:10" x14ac:dyDescent="0.2">
      <c r="A363" s="188" t="s">
        <v>573</v>
      </c>
      <c r="B363" s="188">
        <v>3056102</v>
      </c>
      <c r="D363" s="188" t="s">
        <v>384</v>
      </c>
      <c r="E363" s="188" t="s">
        <v>385</v>
      </c>
      <c r="F363" s="188" t="s">
        <v>574</v>
      </c>
      <c r="G363" s="195">
        <v>300</v>
      </c>
      <c r="J363" s="195">
        <v>300</v>
      </c>
    </row>
    <row r="364" spans="1:10" x14ac:dyDescent="0.2">
      <c r="A364" s="188" t="s">
        <v>573</v>
      </c>
      <c r="B364" s="188">
        <v>3056102</v>
      </c>
      <c r="D364" s="188" t="s">
        <v>386</v>
      </c>
      <c r="E364" s="188" t="s">
        <v>387</v>
      </c>
      <c r="F364" s="188" t="s">
        <v>574</v>
      </c>
      <c r="G364" s="195">
        <v>1</v>
      </c>
      <c r="J364" s="195">
        <v>1</v>
      </c>
    </row>
    <row r="365" spans="1:10" x14ac:dyDescent="0.2">
      <c r="A365" s="188" t="s">
        <v>573</v>
      </c>
      <c r="B365" s="188">
        <v>3056102</v>
      </c>
      <c r="D365" s="188" t="s">
        <v>388</v>
      </c>
      <c r="E365" s="188" t="s">
        <v>389</v>
      </c>
      <c r="F365" s="188" t="s">
        <v>574</v>
      </c>
      <c r="G365" s="195">
        <v>110</v>
      </c>
      <c r="J365" s="195">
        <v>110</v>
      </c>
    </row>
    <row r="366" spans="1:10" x14ac:dyDescent="0.2">
      <c r="A366" s="188" t="s">
        <v>573</v>
      </c>
      <c r="B366" s="188">
        <v>3056102</v>
      </c>
      <c r="D366" s="188" t="s">
        <v>390</v>
      </c>
      <c r="E366" s="188" t="s">
        <v>391</v>
      </c>
      <c r="F366" s="188" t="s">
        <v>574</v>
      </c>
      <c r="G366" s="195">
        <v>5</v>
      </c>
      <c r="J366" s="195">
        <v>5</v>
      </c>
    </row>
    <row r="367" spans="1:10" x14ac:dyDescent="0.2">
      <c r="A367" s="188" t="s">
        <v>573</v>
      </c>
      <c r="B367" s="188">
        <v>3056102</v>
      </c>
      <c r="D367" s="188" t="s">
        <v>392</v>
      </c>
      <c r="E367" s="188" t="s">
        <v>393</v>
      </c>
      <c r="F367" s="188" t="s">
        <v>574</v>
      </c>
      <c r="G367" s="195">
        <v>26</v>
      </c>
      <c r="J367" s="195">
        <v>26</v>
      </c>
    </row>
    <row r="368" spans="1:10" x14ac:dyDescent="0.2">
      <c r="A368" s="188" t="s">
        <v>573</v>
      </c>
      <c r="B368" s="188">
        <v>3056102</v>
      </c>
      <c r="D368" s="188" t="s">
        <v>394</v>
      </c>
      <c r="E368" s="188" t="s">
        <v>395</v>
      </c>
      <c r="F368" s="188" t="s">
        <v>574</v>
      </c>
      <c r="G368" s="195">
        <v>33</v>
      </c>
      <c r="J368" s="195">
        <v>33</v>
      </c>
    </row>
    <row r="369" spans="1:10" x14ac:dyDescent="0.2">
      <c r="A369" s="188" t="s">
        <v>573</v>
      </c>
      <c r="B369" s="188">
        <v>3056102</v>
      </c>
      <c r="D369" s="188" t="s">
        <v>396</v>
      </c>
      <c r="E369" s="188" t="s">
        <v>397</v>
      </c>
      <c r="F369" s="188" t="s">
        <v>574</v>
      </c>
      <c r="G369" s="195">
        <v>9</v>
      </c>
      <c r="J369" s="195">
        <v>9</v>
      </c>
    </row>
    <row r="370" spans="1:10" x14ac:dyDescent="0.2">
      <c r="A370" s="188" t="s">
        <v>565</v>
      </c>
      <c r="B370" s="194">
        <v>3056103</v>
      </c>
      <c r="D370" s="188" t="s">
        <v>522</v>
      </c>
      <c r="E370" s="188" t="s">
        <v>523</v>
      </c>
      <c r="F370" s="188" t="s">
        <v>575</v>
      </c>
      <c r="G370" s="195">
        <v>115774</v>
      </c>
      <c r="J370" s="195">
        <v>115774</v>
      </c>
    </row>
    <row r="371" spans="1:10" x14ac:dyDescent="0.2">
      <c r="A371" s="188" t="s">
        <v>565</v>
      </c>
      <c r="B371" s="194">
        <v>3056103</v>
      </c>
      <c r="D371" s="188" t="s">
        <v>524</v>
      </c>
      <c r="E371" s="188" t="s">
        <v>525</v>
      </c>
      <c r="F371" s="188" t="s">
        <v>575</v>
      </c>
      <c r="G371" s="195">
        <v>1053</v>
      </c>
      <c r="J371" s="195">
        <v>1053</v>
      </c>
    </row>
    <row r="372" spans="1:10" x14ac:dyDescent="0.2">
      <c r="A372" s="188" t="s">
        <v>565</v>
      </c>
      <c r="B372" s="188">
        <v>3056103</v>
      </c>
      <c r="D372" s="188" t="s">
        <v>382</v>
      </c>
      <c r="E372" s="188" t="s">
        <v>383</v>
      </c>
      <c r="F372" s="188" t="s">
        <v>575</v>
      </c>
      <c r="G372" s="195">
        <v>247</v>
      </c>
      <c r="J372" s="195">
        <v>247</v>
      </c>
    </row>
    <row r="373" spans="1:10" x14ac:dyDescent="0.2">
      <c r="A373" s="188" t="s">
        <v>565</v>
      </c>
      <c r="B373" s="188">
        <v>3056103</v>
      </c>
      <c r="D373" s="188" t="s">
        <v>384</v>
      </c>
      <c r="E373" s="188" t="s">
        <v>385</v>
      </c>
      <c r="F373" s="188" t="s">
        <v>575</v>
      </c>
      <c r="G373" s="195">
        <v>481</v>
      </c>
      <c r="J373" s="195">
        <v>481</v>
      </c>
    </row>
    <row r="374" spans="1:10" x14ac:dyDescent="0.2">
      <c r="A374" s="188" t="s">
        <v>565</v>
      </c>
      <c r="B374" s="188">
        <v>3056103</v>
      </c>
      <c r="D374" s="188" t="s">
        <v>388</v>
      </c>
      <c r="E374" s="188" t="s">
        <v>389</v>
      </c>
      <c r="F374" s="188" t="s">
        <v>575</v>
      </c>
      <c r="G374" s="195">
        <v>177</v>
      </c>
      <c r="J374" s="195">
        <v>177</v>
      </c>
    </row>
    <row r="375" spans="1:10" x14ac:dyDescent="0.2">
      <c r="A375" s="188" t="s">
        <v>565</v>
      </c>
      <c r="B375" s="188">
        <v>3056103</v>
      </c>
      <c r="D375" s="188" t="s">
        <v>392</v>
      </c>
      <c r="E375" s="188" t="s">
        <v>393</v>
      </c>
      <c r="F375" s="188" t="s">
        <v>575</v>
      </c>
      <c r="G375" s="195">
        <v>41</v>
      </c>
      <c r="J375" s="195">
        <v>41</v>
      </c>
    </row>
    <row r="376" spans="1:10" x14ac:dyDescent="0.2">
      <c r="A376" s="188" t="s">
        <v>565</v>
      </c>
      <c r="B376" s="188">
        <v>3056103</v>
      </c>
      <c r="D376" s="188" t="s">
        <v>394</v>
      </c>
      <c r="E376" s="188" t="s">
        <v>395</v>
      </c>
      <c r="F376" s="188" t="s">
        <v>575</v>
      </c>
      <c r="G376" s="195">
        <v>53</v>
      </c>
      <c r="J376" s="195">
        <v>53</v>
      </c>
    </row>
    <row r="377" spans="1:10" x14ac:dyDescent="0.2">
      <c r="A377" s="188" t="s">
        <v>565</v>
      </c>
      <c r="B377" s="188">
        <v>3056103</v>
      </c>
      <c r="D377" s="188" t="s">
        <v>396</v>
      </c>
      <c r="E377" s="188" t="s">
        <v>397</v>
      </c>
      <c r="F377" s="188" t="s">
        <v>575</v>
      </c>
      <c r="G377" s="195">
        <v>15</v>
      </c>
      <c r="J377" s="195">
        <v>15</v>
      </c>
    </row>
    <row r="379" spans="1:10" x14ac:dyDescent="0.2">
      <c r="G379" s="199">
        <v>608602</v>
      </c>
    </row>
    <row r="381" spans="1:10" x14ac:dyDescent="0.2">
      <c r="F381" s="188" t="s">
        <v>576</v>
      </c>
      <c r="G381" s="199">
        <v>4799151.4142927127</v>
      </c>
      <c r="I381" s="199">
        <v>4286119.8499999996</v>
      </c>
      <c r="J381" s="188">
        <v>728486</v>
      </c>
    </row>
  </sheetData>
  <sheetProtection password="EF5C" sheet="1" objects="1" scenarios="1"/>
  <autoFilter ref="A1:J381"/>
  <phoneticPr fontId="2" type="noConversion"/>
  <pageMargins left="0.74803149606299213" right="0.74803149606299213" top="0.70866141732283472" bottom="0.8" header="0.35433070866141736" footer="0.23"/>
  <pageSetup paperSize="9" scale="52" fitToHeight="10" orientation="landscape" r:id="rId1"/>
  <headerFooter alignWithMargins="0">
    <oddHeader>&amp;CSCHOOL FUNDING REVIEW 2013/14</oddHeader>
    <oddFooter>&amp;C&amp;Z&amp;F
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105"/>
  <sheetViews>
    <sheetView topLeftCell="A4" workbookViewId="0">
      <selection sqref="A1:XFD1048576"/>
    </sheetView>
  </sheetViews>
  <sheetFormatPr defaultRowHeight="12.75" x14ac:dyDescent="0.2"/>
  <cols>
    <col min="2" max="2" width="58.140625" bestFit="1" customWidth="1"/>
    <col min="3" max="3" width="12" style="42" customWidth="1"/>
  </cols>
  <sheetData>
    <row r="1" spans="1:3" ht="83.25" customHeight="1" x14ac:dyDescent="0.2">
      <c r="A1" t="s">
        <v>298</v>
      </c>
      <c r="B1" t="s">
        <v>92</v>
      </c>
      <c r="C1" s="143" t="s">
        <v>297</v>
      </c>
    </row>
    <row r="2" spans="1:3" x14ac:dyDescent="0.2">
      <c r="A2">
        <v>9993000</v>
      </c>
      <c r="B2" t="s">
        <v>299</v>
      </c>
    </row>
    <row r="3" spans="1:3" x14ac:dyDescent="0.2">
      <c r="A3">
        <v>9994000</v>
      </c>
      <c r="B3" t="s">
        <v>300</v>
      </c>
    </row>
    <row r="4" spans="1:3" x14ac:dyDescent="0.2">
      <c r="A4">
        <v>9993001</v>
      </c>
      <c r="B4" t="s">
        <v>301</v>
      </c>
    </row>
    <row r="5" spans="1:3" x14ac:dyDescent="0.2">
      <c r="A5">
        <v>9994001</v>
      </c>
      <c r="B5" t="s">
        <v>302</v>
      </c>
    </row>
    <row r="6" spans="1:3" x14ac:dyDescent="0.2">
      <c r="A6" t="s">
        <v>303</v>
      </c>
      <c r="B6" t="s">
        <v>303</v>
      </c>
    </row>
    <row r="7" spans="1:3" x14ac:dyDescent="0.2">
      <c r="A7">
        <v>1014</v>
      </c>
      <c r="B7" t="s">
        <v>304</v>
      </c>
    </row>
    <row r="8" spans="1:3" x14ac:dyDescent="0.2">
      <c r="A8">
        <v>1017</v>
      </c>
      <c r="B8" t="s">
        <v>305</v>
      </c>
    </row>
    <row r="9" spans="1:3" x14ac:dyDescent="0.2">
      <c r="A9">
        <v>1006</v>
      </c>
      <c r="B9" t="s">
        <v>306</v>
      </c>
    </row>
    <row r="10" spans="1:3" x14ac:dyDescent="0.2">
      <c r="A10">
        <v>1008</v>
      </c>
      <c r="B10" t="s">
        <v>307</v>
      </c>
    </row>
    <row r="11" spans="1:3" x14ac:dyDescent="0.2">
      <c r="A11">
        <v>1005</v>
      </c>
      <c r="B11" t="s">
        <v>308</v>
      </c>
    </row>
    <row r="12" spans="1:3" x14ac:dyDescent="0.2">
      <c r="A12">
        <v>1010</v>
      </c>
      <c r="B12" t="s">
        <v>309</v>
      </c>
    </row>
    <row r="13" spans="1:3" x14ac:dyDescent="0.2">
      <c r="A13">
        <v>1009</v>
      </c>
      <c r="B13" t="s">
        <v>310</v>
      </c>
    </row>
    <row r="14" spans="1:3" x14ac:dyDescent="0.2">
      <c r="A14">
        <v>1015</v>
      </c>
      <c r="B14" t="s">
        <v>311</v>
      </c>
    </row>
    <row r="15" spans="1:3" x14ac:dyDescent="0.2">
      <c r="A15" t="s">
        <v>303</v>
      </c>
      <c r="B15" t="s">
        <v>303</v>
      </c>
    </row>
    <row r="16" spans="1:3" x14ac:dyDescent="0.2">
      <c r="A16">
        <v>2400</v>
      </c>
      <c r="B16" t="s">
        <v>3</v>
      </c>
      <c r="C16" s="42">
        <v>22680.611130037629</v>
      </c>
    </row>
    <row r="17" spans="1:3" x14ac:dyDescent="0.2">
      <c r="A17">
        <v>2443</v>
      </c>
      <c r="B17" t="s">
        <v>4</v>
      </c>
      <c r="C17" s="42">
        <v>34020.916695056439</v>
      </c>
    </row>
    <row r="18" spans="1:3" x14ac:dyDescent="0.2">
      <c r="A18">
        <v>2442</v>
      </c>
      <c r="B18" t="s">
        <v>312</v>
      </c>
      <c r="C18" s="42">
        <v>0</v>
      </c>
    </row>
    <row r="19" spans="1:3" x14ac:dyDescent="0.2">
      <c r="A19">
        <v>2629</v>
      </c>
      <c r="B19" t="s">
        <v>6</v>
      </c>
      <c r="C19" s="42">
        <v>22680.611130037629</v>
      </c>
    </row>
    <row r="20" spans="1:3" x14ac:dyDescent="0.2">
      <c r="A20">
        <v>2509</v>
      </c>
      <c r="B20" t="s">
        <v>7</v>
      </c>
      <c r="C20" s="42">
        <v>22680.611130037629</v>
      </c>
    </row>
    <row r="21" spans="1:3" x14ac:dyDescent="0.2">
      <c r="A21">
        <v>2005</v>
      </c>
      <c r="B21" t="s">
        <v>8</v>
      </c>
      <c r="C21" s="42">
        <v>22680.611130037629</v>
      </c>
    </row>
    <row r="22" spans="1:3" x14ac:dyDescent="0.2">
      <c r="A22">
        <v>2464</v>
      </c>
      <c r="B22" t="s">
        <v>9</v>
      </c>
      <c r="C22" s="42">
        <v>11340.305565018814</v>
      </c>
    </row>
    <row r="23" spans="1:3" x14ac:dyDescent="0.2">
      <c r="A23">
        <v>2004</v>
      </c>
      <c r="B23" t="s">
        <v>10</v>
      </c>
      <c r="C23" s="42">
        <v>22680.611130037629</v>
      </c>
    </row>
    <row r="24" spans="1:3" x14ac:dyDescent="0.2">
      <c r="A24">
        <v>2405</v>
      </c>
      <c r="B24" t="s">
        <v>11</v>
      </c>
      <c r="C24" s="42">
        <v>11340.305565018814</v>
      </c>
    </row>
    <row r="25" spans="1:3" x14ac:dyDescent="0.2">
      <c r="A25">
        <v>3525</v>
      </c>
      <c r="B25" t="s">
        <v>313</v>
      </c>
      <c r="C25" s="42">
        <v>11340.305565018814</v>
      </c>
    </row>
    <row r="26" spans="1:3" x14ac:dyDescent="0.2">
      <c r="A26">
        <v>5201</v>
      </c>
      <c r="B26" t="s">
        <v>12</v>
      </c>
      <c r="C26" s="42">
        <v>22680.611130037629</v>
      </c>
    </row>
    <row r="27" spans="1:3" x14ac:dyDescent="0.2">
      <c r="A27" s="118">
        <v>2007</v>
      </c>
      <c r="B27" s="118" t="s">
        <v>618</v>
      </c>
      <c r="C27" s="42">
        <v>22680.611130037629</v>
      </c>
    </row>
    <row r="28" spans="1:3" x14ac:dyDescent="0.2">
      <c r="A28">
        <v>2433</v>
      </c>
      <c r="B28" t="s">
        <v>14</v>
      </c>
      <c r="C28" s="42">
        <v>22680.611130037629</v>
      </c>
    </row>
    <row r="29" spans="1:3" x14ac:dyDescent="0.2">
      <c r="A29">
        <v>2432</v>
      </c>
      <c r="B29" t="s">
        <v>15</v>
      </c>
      <c r="C29" s="42">
        <v>0</v>
      </c>
    </row>
    <row r="30" spans="1:3" x14ac:dyDescent="0.2">
      <c r="A30">
        <v>2446</v>
      </c>
      <c r="B30" t="s">
        <v>16</v>
      </c>
      <c r="C30" s="42">
        <v>22680.611130037629</v>
      </c>
    </row>
    <row r="31" spans="1:3" x14ac:dyDescent="0.2">
      <c r="A31">
        <v>2447</v>
      </c>
      <c r="B31" t="s">
        <v>17</v>
      </c>
      <c r="C31" s="42">
        <v>0</v>
      </c>
    </row>
    <row r="32" spans="1:3" x14ac:dyDescent="0.2">
      <c r="A32">
        <v>2512</v>
      </c>
      <c r="B32" t="s">
        <v>18</v>
      </c>
      <c r="C32" s="42">
        <v>11340.305565018814</v>
      </c>
    </row>
    <row r="33" spans="1:3" x14ac:dyDescent="0.2">
      <c r="A33">
        <v>2456</v>
      </c>
      <c r="B33" t="s">
        <v>19</v>
      </c>
      <c r="C33" s="42">
        <v>22680.611130037629</v>
      </c>
    </row>
    <row r="34" spans="1:3" x14ac:dyDescent="0.2">
      <c r="A34">
        <v>2449</v>
      </c>
      <c r="B34" t="s">
        <v>20</v>
      </c>
      <c r="C34" s="42">
        <v>34020.916695056439</v>
      </c>
    </row>
    <row r="35" spans="1:3" x14ac:dyDescent="0.2">
      <c r="A35">
        <v>2448</v>
      </c>
      <c r="B35" t="s">
        <v>21</v>
      </c>
      <c r="C35" s="42">
        <v>0</v>
      </c>
    </row>
    <row r="36" spans="1:3" x14ac:dyDescent="0.2">
      <c r="A36">
        <v>2467</v>
      </c>
      <c r="B36" t="s">
        <v>23</v>
      </c>
      <c r="C36" s="42">
        <v>22680.611130037629</v>
      </c>
    </row>
    <row r="37" spans="1:3" x14ac:dyDescent="0.2">
      <c r="A37">
        <v>2455</v>
      </c>
      <c r="B37" t="s">
        <v>24</v>
      </c>
      <c r="C37" s="42">
        <v>45361.222260075258</v>
      </c>
    </row>
    <row r="38" spans="1:3" x14ac:dyDescent="0.2">
      <c r="A38">
        <v>5203</v>
      </c>
      <c r="B38" t="s">
        <v>25</v>
      </c>
      <c r="C38" s="42">
        <v>0</v>
      </c>
    </row>
    <row r="39" spans="1:3" x14ac:dyDescent="0.2">
      <c r="A39">
        <v>2451</v>
      </c>
      <c r="B39" t="s">
        <v>26</v>
      </c>
      <c r="C39" s="42">
        <v>34020.916695056439</v>
      </c>
    </row>
    <row r="40" spans="1:3" x14ac:dyDescent="0.2">
      <c r="A40">
        <v>2409</v>
      </c>
      <c r="B40" t="s">
        <v>27</v>
      </c>
      <c r="C40" s="42">
        <v>34020.916695056439</v>
      </c>
    </row>
    <row r="41" spans="1:3" x14ac:dyDescent="0.2">
      <c r="A41">
        <v>2619</v>
      </c>
      <c r="B41" t="s">
        <v>29</v>
      </c>
      <c r="C41" s="42">
        <v>11340.305565018814</v>
      </c>
    </row>
    <row r="42" spans="1:3" x14ac:dyDescent="0.2">
      <c r="A42">
        <v>2518</v>
      </c>
      <c r="B42" t="s">
        <v>30</v>
      </c>
      <c r="C42" s="42">
        <v>22680.611130037629</v>
      </c>
    </row>
    <row r="43" spans="1:3" x14ac:dyDescent="0.2">
      <c r="A43">
        <v>2457</v>
      </c>
      <c r="B43" t="s">
        <v>31</v>
      </c>
      <c r="C43" s="42">
        <v>0</v>
      </c>
    </row>
    <row r="44" spans="1:3" x14ac:dyDescent="0.2">
      <c r="A44">
        <v>2515</v>
      </c>
      <c r="B44" t="s">
        <v>32</v>
      </c>
      <c r="C44" s="42">
        <v>11340.305565018814</v>
      </c>
    </row>
    <row r="45" spans="1:3" x14ac:dyDescent="0.2">
      <c r="A45">
        <v>2002</v>
      </c>
      <c r="B45" t="s">
        <v>33</v>
      </c>
      <c r="C45" s="42">
        <v>22680.611130037629</v>
      </c>
    </row>
    <row r="46" spans="1:3" x14ac:dyDescent="0.2">
      <c r="A46">
        <v>3544</v>
      </c>
      <c r="B46" t="s">
        <v>34</v>
      </c>
      <c r="C46" s="42">
        <v>22680.611130037629</v>
      </c>
    </row>
    <row r="47" spans="1:3" x14ac:dyDescent="0.2">
      <c r="A47">
        <v>2006</v>
      </c>
      <c r="B47" t="s">
        <v>314</v>
      </c>
      <c r="C47" s="42">
        <v>11340.305565018814</v>
      </c>
    </row>
    <row r="48" spans="1:3" x14ac:dyDescent="0.2">
      <c r="A48">
        <v>2434</v>
      </c>
      <c r="B48" t="s">
        <v>36</v>
      </c>
      <c r="C48" s="42">
        <v>22680.611130037629</v>
      </c>
    </row>
    <row r="49" spans="1:3" x14ac:dyDescent="0.2">
      <c r="A49">
        <v>2522</v>
      </c>
      <c r="B49" t="s">
        <v>37</v>
      </c>
      <c r="C49" s="42">
        <v>22680.611130037629</v>
      </c>
    </row>
    <row r="50" spans="1:3" x14ac:dyDescent="0.2">
      <c r="A50">
        <v>2436</v>
      </c>
      <c r="B50" t="s">
        <v>38</v>
      </c>
      <c r="C50" s="42">
        <v>22680.611130037629</v>
      </c>
    </row>
    <row r="51" spans="1:3" x14ac:dyDescent="0.2">
      <c r="A51">
        <v>2452</v>
      </c>
      <c r="B51" t="s">
        <v>39</v>
      </c>
      <c r="C51" s="42">
        <v>11340.305565018814</v>
      </c>
    </row>
    <row r="52" spans="1:3" x14ac:dyDescent="0.2">
      <c r="A52">
        <v>2627</v>
      </c>
      <c r="B52" t="s">
        <v>40</v>
      </c>
      <c r="C52" s="42">
        <v>22680.611130037629</v>
      </c>
    </row>
    <row r="53" spans="1:3" x14ac:dyDescent="0.2">
      <c r="A53" s="118">
        <v>2418</v>
      </c>
      <c r="B53" s="118" t="s">
        <v>41</v>
      </c>
      <c r="C53" s="42">
        <v>22680.611130037629</v>
      </c>
    </row>
    <row r="54" spans="1:3" x14ac:dyDescent="0.2">
      <c r="A54">
        <v>2420</v>
      </c>
      <c r="B54" t="s">
        <v>44</v>
      </c>
      <c r="C54" s="42">
        <v>22680.611130037629</v>
      </c>
    </row>
    <row r="55" spans="1:3" x14ac:dyDescent="0.2">
      <c r="A55">
        <v>2473</v>
      </c>
      <c r="B55" t="s">
        <v>315</v>
      </c>
      <c r="C55" s="42">
        <v>34020.916695056439</v>
      </c>
    </row>
    <row r="56" spans="1:3" x14ac:dyDescent="0.2">
      <c r="A56">
        <v>2471</v>
      </c>
      <c r="B56" t="s">
        <v>43</v>
      </c>
      <c r="C56" s="42">
        <v>0</v>
      </c>
    </row>
    <row r="57" spans="1:3" x14ac:dyDescent="0.2">
      <c r="A57">
        <v>2003</v>
      </c>
      <c r="B57" t="s">
        <v>45</v>
      </c>
      <c r="C57" s="42">
        <v>11340.305565018814</v>
      </c>
    </row>
    <row r="58" spans="1:3" x14ac:dyDescent="0.2">
      <c r="A58">
        <v>2423</v>
      </c>
      <c r="B58" t="s">
        <v>46</v>
      </c>
      <c r="C58" s="42">
        <v>0</v>
      </c>
    </row>
    <row r="59" spans="1:3" x14ac:dyDescent="0.2">
      <c r="A59">
        <v>2424</v>
      </c>
      <c r="B59" t="s">
        <v>47</v>
      </c>
      <c r="C59" s="42">
        <v>34020.916695056439</v>
      </c>
    </row>
    <row r="60" spans="1:3" x14ac:dyDescent="0.2">
      <c r="A60">
        <v>2439</v>
      </c>
      <c r="B60" t="s">
        <v>48</v>
      </c>
      <c r="C60" s="42">
        <v>34020.916695056439</v>
      </c>
    </row>
    <row r="61" spans="1:3" x14ac:dyDescent="0.2">
      <c r="A61">
        <v>2440</v>
      </c>
      <c r="B61" t="s">
        <v>49</v>
      </c>
      <c r="C61" s="42">
        <v>0</v>
      </c>
    </row>
    <row r="62" spans="1:3" x14ac:dyDescent="0.2">
      <c r="A62">
        <v>2462</v>
      </c>
      <c r="B62" t="s">
        <v>316</v>
      </c>
      <c r="C62" s="42">
        <v>34020.916695056439</v>
      </c>
    </row>
    <row r="63" spans="1:3" x14ac:dyDescent="0.2">
      <c r="A63">
        <v>2463</v>
      </c>
      <c r="B63" t="s">
        <v>51</v>
      </c>
      <c r="C63" s="42">
        <v>0</v>
      </c>
    </row>
    <row r="64" spans="1:3" x14ac:dyDescent="0.2">
      <c r="A64" t="s">
        <v>303</v>
      </c>
      <c r="B64" t="s">
        <v>303</v>
      </c>
    </row>
    <row r="65" spans="1:3" x14ac:dyDescent="0.2">
      <c r="A65" t="s">
        <v>303</v>
      </c>
      <c r="B65" t="s">
        <v>303</v>
      </c>
    </row>
    <row r="66" spans="1:3" x14ac:dyDescent="0.2">
      <c r="A66">
        <v>2505</v>
      </c>
      <c r="B66" t="s">
        <v>52</v>
      </c>
      <c r="C66" s="42">
        <v>34020.916695056439</v>
      </c>
    </row>
    <row r="67" spans="1:3" x14ac:dyDescent="0.2">
      <c r="A67">
        <v>2000</v>
      </c>
      <c r="B67" t="s">
        <v>53</v>
      </c>
      <c r="C67" s="42">
        <v>22680.611130037629</v>
      </c>
    </row>
    <row r="68" spans="1:3" x14ac:dyDescent="0.2">
      <c r="A68">
        <v>2458</v>
      </c>
      <c r="B68" t="s">
        <v>54</v>
      </c>
      <c r="C68" s="42">
        <v>34020.916695056439</v>
      </c>
    </row>
    <row r="69" spans="1:3" x14ac:dyDescent="0.2">
      <c r="A69">
        <v>2001</v>
      </c>
      <c r="B69" t="s">
        <v>55</v>
      </c>
      <c r="C69" s="42">
        <v>22680.611130037629</v>
      </c>
    </row>
    <row r="70" spans="1:3" x14ac:dyDescent="0.2">
      <c r="A70">
        <v>2429</v>
      </c>
      <c r="B70" t="s">
        <v>56</v>
      </c>
      <c r="C70" s="42">
        <v>22680.611130037629</v>
      </c>
    </row>
    <row r="71" spans="1:3" x14ac:dyDescent="0.2">
      <c r="A71">
        <v>2444</v>
      </c>
      <c r="B71" t="s">
        <v>57</v>
      </c>
      <c r="C71" s="42">
        <v>34020.916695056439</v>
      </c>
    </row>
    <row r="72" spans="1:3" x14ac:dyDescent="0.2">
      <c r="A72">
        <v>5209</v>
      </c>
      <c r="B72" t="s">
        <v>58</v>
      </c>
      <c r="C72" s="42">
        <v>0</v>
      </c>
    </row>
    <row r="73" spans="1:3" x14ac:dyDescent="0.2">
      <c r="A73">
        <v>2469</v>
      </c>
      <c r="B73" t="s">
        <v>59</v>
      </c>
      <c r="C73" s="42">
        <v>34020.916695056439</v>
      </c>
    </row>
    <row r="74" spans="1:3" x14ac:dyDescent="0.2">
      <c r="A74">
        <v>2430</v>
      </c>
      <c r="B74" t="s">
        <v>60</v>
      </c>
      <c r="C74" s="42">
        <v>11340.305565018814</v>
      </c>
    </row>
    <row r="75" spans="1:3" x14ac:dyDescent="0.2">
      <c r="A75">
        <v>2466</v>
      </c>
      <c r="B75" t="s">
        <v>61</v>
      </c>
      <c r="C75" s="42">
        <v>11340.305565018814</v>
      </c>
    </row>
    <row r="76" spans="1:3" x14ac:dyDescent="0.2">
      <c r="A76">
        <v>3543</v>
      </c>
      <c r="B76" t="s">
        <v>106</v>
      </c>
      <c r="C76" s="42">
        <v>22680.611130037629</v>
      </c>
    </row>
    <row r="77" spans="1:3" x14ac:dyDescent="0.2">
      <c r="A77">
        <v>3158</v>
      </c>
      <c r="B77" t="s">
        <v>317</v>
      </c>
      <c r="C77" s="42">
        <v>22680.611130037629</v>
      </c>
    </row>
    <row r="78" spans="1:3" x14ac:dyDescent="0.2">
      <c r="A78">
        <v>3531</v>
      </c>
      <c r="B78" t="s">
        <v>62</v>
      </c>
      <c r="C78" s="42">
        <v>22680.611130037629</v>
      </c>
    </row>
    <row r="79" spans="1:3" x14ac:dyDescent="0.2">
      <c r="A79">
        <v>3526</v>
      </c>
      <c r="B79" t="s">
        <v>318</v>
      </c>
      <c r="C79" s="42">
        <v>11340.305565018814</v>
      </c>
    </row>
    <row r="80" spans="1:3" x14ac:dyDescent="0.2">
      <c r="A80">
        <v>3535</v>
      </c>
      <c r="B80" t="s">
        <v>319</v>
      </c>
      <c r="C80" s="42">
        <v>0</v>
      </c>
    </row>
    <row r="81" spans="1:3" x14ac:dyDescent="0.2">
      <c r="A81" s="118">
        <v>3533</v>
      </c>
      <c r="B81" s="118" t="s">
        <v>320</v>
      </c>
      <c r="C81" s="42">
        <v>11340.305565018814</v>
      </c>
    </row>
    <row r="82" spans="1:3" x14ac:dyDescent="0.2">
      <c r="A82">
        <v>3542</v>
      </c>
      <c r="B82" t="s">
        <v>321</v>
      </c>
      <c r="C82" s="42">
        <v>22680.611130037629</v>
      </c>
    </row>
    <row r="83" spans="1:3" x14ac:dyDescent="0.2">
      <c r="A83">
        <v>3528</v>
      </c>
      <c r="B83" t="s">
        <v>322</v>
      </c>
      <c r="C83" s="42">
        <v>22680.611130037629</v>
      </c>
    </row>
    <row r="84" spans="1:3" x14ac:dyDescent="0.2">
      <c r="A84">
        <v>3534</v>
      </c>
      <c r="B84" t="s">
        <v>323</v>
      </c>
      <c r="C84" s="42">
        <v>0</v>
      </c>
    </row>
    <row r="85" spans="1:3" x14ac:dyDescent="0.2">
      <c r="A85">
        <v>3532</v>
      </c>
      <c r="B85" t="s">
        <v>324</v>
      </c>
      <c r="C85" s="42">
        <v>22680.611130037629</v>
      </c>
    </row>
    <row r="86" spans="1:3" x14ac:dyDescent="0.2">
      <c r="A86">
        <v>3546</v>
      </c>
      <c r="B86" t="s">
        <v>69</v>
      </c>
      <c r="C86" s="42">
        <v>34020.916695056439</v>
      </c>
    </row>
    <row r="87" spans="1:3" x14ac:dyDescent="0.2">
      <c r="A87">
        <v>3530</v>
      </c>
      <c r="B87" t="s">
        <v>325</v>
      </c>
      <c r="C87" s="42">
        <v>22680.611130037629</v>
      </c>
    </row>
    <row r="88" spans="1:3" x14ac:dyDescent="0.2">
      <c r="A88">
        <v>2459</v>
      </c>
      <c r="B88" t="s">
        <v>70</v>
      </c>
      <c r="C88" s="42">
        <v>22680.611130037629</v>
      </c>
    </row>
    <row r="89" spans="1:3" x14ac:dyDescent="0.2">
      <c r="A89" t="s">
        <v>303</v>
      </c>
      <c r="B89" t="s">
        <v>303</v>
      </c>
    </row>
    <row r="90" spans="1:3" x14ac:dyDescent="0.2">
      <c r="A90">
        <v>4177</v>
      </c>
      <c r="B90" t="s">
        <v>326</v>
      </c>
    </row>
    <row r="91" spans="1:3" x14ac:dyDescent="0.2">
      <c r="A91">
        <v>4608</v>
      </c>
      <c r="B91" t="s">
        <v>72</v>
      </c>
    </row>
    <row r="92" spans="1:3" x14ac:dyDescent="0.2">
      <c r="A92">
        <v>4178</v>
      </c>
      <c r="B92" t="s">
        <v>327</v>
      </c>
    </row>
    <row r="93" spans="1:3" x14ac:dyDescent="0.2">
      <c r="A93">
        <v>4181</v>
      </c>
      <c r="B93" t="s">
        <v>328</v>
      </c>
    </row>
    <row r="94" spans="1:3" x14ac:dyDescent="0.2">
      <c r="A94">
        <v>4182</v>
      </c>
      <c r="B94" t="s">
        <v>74</v>
      </c>
    </row>
    <row r="95" spans="1:3" x14ac:dyDescent="0.2">
      <c r="A95">
        <v>4609</v>
      </c>
      <c r="B95" t="s">
        <v>75</v>
      </c>
    </row>
    <row r="96" spans="1:3" x14ac:dyDescent="0.2">
      <c r="A96">
        <v>5406</v>
      </c>
      <c r="B96" t="s">
        <v>329</v>
      </c>
    </row>
    <row r="97" spans="1:3" x14ac:dyDescent="0.2">
      <c r="A97">
        <v>5407</v>
      </c>
      <c r="B97" t="s">
        <v>330</v>
      </c>
    </row>
    <row r="98" spans="1:3" x14ac:dyDescent="0.2">
      <c r="A98">
        <v>4607</v>
      </c>
      <c r="B98" t="s">
        <v>331</v>
      </c>
    </row>
    <row r="99" spans="1:3" x14ac:dyDescent="0.2">
      <c r="A99">
        <v>4158</v>
      </c>
      <c r="B99" t="s">
        <v>78</v>
      </c>
    </row>
    <row r="100" spans="1:3" x14ac:dyDescent="0.2">
      <c r="A100">
        <v>5414</v>
      </c>
      <c r="B100" t="s">
        <v>332</v>
      </c>
    </row>
    <row r="101" spans="1:3" x14ac:dyDescent="0.2">
      <c r="A101">
        <v>5412</v>
      </c>
      <c r="B101" t="s">
        <v>333</v>
      </c>
    </row>
    <row r="102" spans="1:3" x14ac:dyDescent="0.2">
      <c r="A102">
        <v>5402</v>
      </c>
      <c r="B102" t="s">
        <v>334</v>
      </c>
    </row>
    <row r="103" spans="1:3" x14ac:dyDescent="0.2">
      <c r="A103" t="s">
        <v>303</v>
      </c>
      <c r="B103" t="s">
        <v>303</v>
      </c>
    </row>
    <row r="104" spans="1:3" x14ac:dyDescent="0.2">
      <c r="A104" t="s">
        <v>303</v>
      </c>
      <c r="B104" t="s">
        <v>303</v>
      </c>
      <c r="C104" s="42">
        <v>1338156.0566722197</v>
      </c>
    </row>
    <row r="105" spans="1:3" x14ac:dyDescent="0.2">
      <c r="A105" t="s">
        <v>303</v>
      </c>
      <c r="B105" t="s">
        <v>335</v>
      </c>
    </row>
  </sheetData>
  <sheetProtection password="EF5C" sheet="1" objects="1" scenarios="1"/>
  <phoneticPr fontId="2"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FQ154"/>
  <sheetViews>
    <sheetView zoomScale="90" zoomScaleNormal="90" workbookViewId="0">
      <pane xSplit="3" ySplit="11" topLeftCell="DT12" activePane="bottomRight" state="frozen"/>
      <selection sqref="A1:XFD1048576"/>
      <selection pane="topRight" sqref="A1:XFD1048576"/>
      <selection pane="bottomLeft" sqref="A1:XFD1048576"/>
      <selection pane="bottomRight" sqref="A1:XFD1048576"/>
    </sheetView>
  </sheetViews>
  <sheetFormatPr defaultRowHeight="12.75" x14ac:dyDescent="0.2"/>
  <cols>
    <col min="1" max="1" width="58.140625" style="276" bestFit="1" customWidth="1"/>
    <col min="2" max="6" width="11.140625" style="276" customWidth="1"/>
    <col min="7" max="7" width="14.5703125" style="276" bestFit="1" customWidth="1"/>
    <col min="8" max="13" width="11.140625" style="276" customWidth="1"/>
    <col min="14" max="14" width="8" style="276" customWidth="1"/>
    <col min="15" max="34" width="11.140625" style="276" customWidth="1"/>
    <col min="35" max="35" width="11.140625" style="277" customWidth="1"/>
    <col min="36" max="49" width="11.140625" style="276" customWidth="1"/>
    <col min="50" max="51" width="11.140625" style="278" customWidth="1"/>
    <col min="52" max="53" width="11.140625" style="276" customWidth="1"/>
    <col min="54" max="55" width="11.140625" style="279" customWidth="1"/>
    <col min="56" max="105" width="11.140625" style="276" customWidth="1"/>
    <col min="106" max="106" width="12.42578125" style="277" customWidth="1"/>
    <col min="107" max="107" width="12" style="276" customWidth="1"/>
    <col min="108" max="110" width="11.140625" style="276" customWidth="1"/>
    <col min="111" max="111" width="10.28515625" style="276" customWidth="1"/>
    <col min="112" max="117" width="11.140625" style="276" customWidth="1"/>
    <col min="118" max="118" width="11.140625" style="279" customWidth="1"/>
    <col min="119" max="121" width="11.140625" style="276" customWidth="1"/>
    <col min="122" max="122" width="11.140625" style="277" customWidth="1"/>
    <col min="123" max="127" width="11.140625" style="276" customWidth="1"/>
    <col min="128" max="128" width="15.28515625" style="276" bestFit="1" customWidth="1"/>
    <col min="129" max="129" width="15.28515625" style="276" customWidth="1"/>
    <col min="130" max="130" width="13.7109375" style="276" customWidth="1"/>
    <col min="131" max="131" width="12.140625" style="279" customWidth="1"/>
    <col min="132" max="132" width="11" style="276" customWidth="1"/>
    <col min="133" max="133" width="11.5703125" style="276" customWidth="1"/>
    <col min="134" max="134" width="12.28515625" style="277" bestFit="1" customWidth="1"/>
    <col min="135" max="135" width="18" style="277" customWidth="1"/>
    <col min="136" max="136" width="15.28515625" style="276" customWidth="1"/>
    <col min="137" max="137" width="16.28515625" style="276" customWidth="1"/>
    <col min="138" max="138" width="9.42578125" style="276" bestFit="1" customWidth="1"/>
    <col min="139" max="139" width="12.28515625" style="277" bestFit="1" customWidth="1"/>
    <col min="140" max="140" width="10.42578125" style="276" bestFit="1" customWidth="1"/>
    <col min="141" max="141" width="9.140625" style="276"/>
    <col min="142" max="142" width="15.140625" style="276" customWidth="1"/>
    <col min="143" max="143" width="13.28515625" style="276" customWidth="1"/>
    <col min="144" max="155" width="15.5703125" style="276" customWidth="1"/>
    <col min="156" max="156" width="16.42578125" style="276" bestFit="1" customWidth="1"/>
    <col min="157" max="157" width="9.140625" style="276"/>
    <col min="158" max="158" width="18.28515625" style="276" bestFit="1" customWidth="1"/>
    <col min="159" max="159" width="11.28515625" style="276" customWidth="1"/>
    <col min="160" max="161" width="10.42578125" style="276" bestFit="1" customWidth="1"/>
    <col min="162" max="162" width="12.28515625" style="276" customWidth="1"/>
    <col min="163" max="16384" width="9.140625" style="276"/>
  </cols>
  <sheetData>
    <row r="1" spans="1:173" s="255" customFormat="1" x14ac:dyDescent="0.2">
      <c r="AI1" s="256"/>
      <c r="AX1" s="257"/>
      <c r="AY1" s="257"/>
      <c r="BB1" s="258"/>
      <c r="BC1" s="258"/>
      <c r="DB1" s="256"/>
      <c r="DN1" s="258"/>
      <c r="DR1" s="256"/>
      <c r="EA1" s="258"/>
      <c r="ED1" s="256"/>
      <c r="EE1" s="256"/>
      <c r="EI1" s="256"/>
    </row>
    <row r="2" spans="1:173" s="255" customFormat="1" ht="15" x14ac:dyDescent="0.25">
      <c r="A2" s="259" t="s">
        <v>640</v>
      </c>
      <c r="B2" s="259" t="s">
        <v>368</v>
      </c>
      <c r="C2" s="259" t="s">
        <v>641</v>
      </c>
      <c r="D2" s="259" t="s">
        <v>642</v>
      </c>
      <c r="Z2" s="260"/>
      <c r="AA2" s="261"/>
      <c r="AB2" s="262"/>
      <c r="AC2" s="262"/>
      <c r="AD2" s="262"/>
      <c r="AE2" s="262"/>
      <c r="AF2" s="262"/>
      <c r="AG2" s="262"/>
      <c r="AH2" s="262"/>
      <c r="AI2" s="263"/>
      <c r="AJ2" s="262"/>
      <c r="AK2" s="264"/>
      <c r="AL2" s="264"/>
      <c r="AM2" s="264"/>
      <c r="AN2" s="265"/>
      <c r="AO2" s="265"/>
      <c r="AP2" s="265"/>
      <c r="AQ2" s="265"/>
      <c r="AR2" s="264"/>
      <c r="AS2" s="262"/>
      <c r="AT2" s="264"/>
      <c r="AU2" s="264"/>
      <c r="AV2" s="264"/>
      <c r="AW2" s="264"/>
      <c r="AX2" s="266"/>
      <c r="AY2" s="266"/>
      <c r="AZ2" s="264"/>
      <c r="BA2" s="264"/>
      <c r="BB2" s="267"/>
      <c r="BC2" s="267"/>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2"/>
      <c r="CE2" s="264"/>
      <c r="CF2" s="264"/>
      <c r="CG2" s="264"/>
      <c r="CH2" s="264"/>
      <c r="CI2" s="264"/>
      <c r="CJ2" s="264"/>
      <c r="CK2" s="264"/>
      <c r="CL2" s="264"/>
      <c r="CM2" s="264"/>
      <c r="CN2" s="264"/>
      <c r="CO2" s="264"/>
      <c r="CP2" s="264"/>
      <c r="CQ2" s="264"/>
      <c r="CR2" s="264"/>
      <c r="CS2" s="264"/>
      <c r="CT2" s="264"/>
      <c r="CU2" s="264"/>
      <c r="CV2" s="264"/>
      <c r="CW2" s="264"/>
      <c r="CX2" s="264"/>
      <c r="CY2" s="264"/>
      <c r="CZ2" s="268"/>
      <c r="DA2" s="264"/>
      <c r="DB2" s="269"/>
      <c r="DC2" s="264"/>
      <c r="DD2" s="264"/>
      <c r="DE2" s="262"/>
      <c r="DF2" s="262"/>
      <c r="DG2" s="267"/>
      <c r="DH2" s="267"/>
      <c r="DI2" s="270"/>
      <c r="DJ2" s="270"/>
      <c r="DK2" s="267"/>
      <c r="DL2" s="267"/>
      <c r="DM2" s="271"/>
      <c r="DN2" s="271"/>
      <c r="DO2" s="267"/>
      <c r="DP2" s="264"/>
      <c r="DQ2" s="264"/>
      <c r="DR2" s="269"/>
      <c r="DS2" s="264"/>
      <c r="DT2" s="264"/>
      <c r="DU2" s="264"/>
      <c r="DV2" s="264"/>
      <c r="DW2" s="264"/>
      <c r="DX2" s="264"/>
      <c r="DY2" s="264"/>
      <c r="DZ2" s="262"/>
      <c r="EA2" s="267"/>
      <c r="EB2" s="264"/>
      <c r="EC2" s="264"/>
      <c r="ED2" s="269"/>
      <c r="EE2" s="272"/>
      <c r="EF2" s="273"/>
      <c r="EG2" s="274"/>
      <c r="EI2" s="256"/>
    </row>
    <row r="3" spans="1:173" s="255" customFormat="1" ht="15" x14ac:dyDescent="0.25">
      <c r="Z3" s="260"/>
      <c r="AA3" s="261"/>
      <c r="AB3" s="262"/>
      <c r="AC3" s="262"/>
      <c r="AD3" s="262"/>
      <c r="AE3" s="262"/>
      <c r="AF3" s="262"/>
      <c r="AG3" s="262"/>
      <c r="AH3" s="262"/>
      <c r="AI3" s="263"/>
      <c r="AJ3" s="262"/>
      <c r="AK3" s="264"/>
      <c r="AL3" s="264"/>
      <c r="AM3" s="264"/>
      <c r="AN3" s="265"/>
      <c r="AO3" s="265"/>
      <c r="AP3" s="265"/>
      <c r="AQ3" s="265"/>
      <c r="AR3" s="264"/>
      <c r="AS3" s="262"/>
      <c r="AT3" s="264"/>
      <c r="AU3" s="264"/>
      <c r="AV3" s="264"/>
      <c r="AW3" s="264"/>
      <c r="AX3" s="266"/>
      <c r="AY3" s="266"/>
      <c r="AZ3" s="264"/>
      <c r="BA3" s="264"/>
      <c r="BB3" s="267"/>
      <c r="BC3" s="267"/>
      <c r="BD3" s="264"/>
      <c r="BE3" s="264"/>
      <c r="BF3" s="264"/>
      <c r="BG3" s="264"/>
      <c r="BH3" s="264"/>
      <c r="BI3" s="264"/>
      <c r="BJ3" s="264"/>
      <c r="BK3" s="264"/>
      <c r="BL3" s="264"/>
      <c r="BM3" s="264"/>
      <c r="BN3" s="264"/>
      <c r="BO3" s="264"/>
      <c r="BP3" s="264"/>
      <c r="BQ3" s="264"/>
      <c r="BR3" s="264"/>
      <c r="BS3" s="264"/>
      <c r="BT3" s="264"/>
      <c r="BU3" s="264"/>
      <c r="BV3" s="264"/>
      <c r="BW3" s="264"/>
      <c r="BX3" s="264"/>
      <c r="BY3" s="264"/>
      <c r="BZ3" s="264"/>
      <c r="CA3" s="264"/>
      <c r="CB3" s="264"/>
      <c r="CC3" s="264"/>
      <c r="CD3" s="262"/>
      <c r="CE3" s="264"/>
      <c r="CF3" s="264"/>
      <c r="CG3" s="264"/>
      <c r="CH3" s="264"/>
      <c r="CI3" s="264"/>
      <c r="CJ3" s="264"/>
      <c r="CK3" s="264"/>
      <c r="CL3" s="264"/>
      <c r="CM3" s="264"/>
      <c r="CN3" s="264"/>
      <c r="CO3" s="264"/>
      <c r="CP3" s="264"/>
      <c r="CQ3" s="264"/>
      <c r="CR3" s="264"/>
      <c r="CS3" s="264"/>
      <c r="CT3" s="264"/>
      <c r="CU3" s="264"/>
      <c r="CV3" s="264"/>
      <c r="CW3" s="264"/>
      <c r="CX3" s="264"/>
      <c r="CY3" s="264"/>
      <c r="CZ3" s="268"/>
      <c r="DA3" s="264"/>
      <c r="DB3" s="269"/>
      <c r="DC3" s="264"/>
      <c r="DD3" s="264"/>
      <c r="DE3" s="262"/>
      <c r="DF3" s="262"/>
      <c r="DG3" s="267"/>
      <c r="DH3" s="267"/>
      <c r="DI3" s="270"/>
      <c r="DJ3" s="270"/>
      <c r="DK3" s="267"/>
      <c r="DL3" s="267"/>
      <c r="DM3" s="271"/>
      <c r="DN3" s="271"/>
      <c r="DO3" s="267"/>
      <c r="DP3" s="264"/>
      <c r="DQ3" s="264"/>
      <c r="DR3" s="269"/>
      <c r="DS3" s="264"/>
      <c r="DT3" s="264"/>
      <c r="DU3" s="264"/>
      <c r="DV3" s="264"/>
      <c r="DW3" s="264"/>
      <c r="DX3" s="264"/>
      <c r="DY3" s="264"/>
      <c r="DZ3" s="262"/>
      <c r="EA3" s="267"/>
      <c r="EB3" s="264"/>
      <c r="EC3" s="264"/>
      <c r="ED3" s="269"/>
      <c r="EE3" s="272"/>
      <c r="EF3" s="273"/>
      <c r="EG3" s="274"/>
      <c r="EI3" s="256"/>
    </row>
    <row r="4" spans="1:173" x14ac:dyDescent="0.2">
      <c r="A4" s="275" t="s">
        <v>643</v>
      </c>
      <c r="DM4" s="280"/>
      <c r="EA4" s="281"/>
      <c r="EB4" s="282"/>
      <c r="EC4" s="282"/>
      <c r="ED4" s="283"/>
    </row>
    <row r="5" spans="1:173" ht="13.5" thickBot="1" x14ac:dyDescent="0.25">
      <c r="A5" s="284" t="s">
        <v>644</v>
      </c>
      <c r="AL5" s="282"/>
      <c r="AM5" s="282"/>
      <c r="AN5" s="282"/>
      <c r="AO5" s="282"/>
      <c r="AP5" s="282"/>
      <c r="AQ5" s="282"/>
      <c r="AR5" s="282"/>
      <c r="AS5" s="282"/>
      <c r="AT5" s="282"/>
      <c r="AU5" s="282"/>
      <c r="AV5" s="282"/>
      <c r="AW5" s="282"/>
      <c r="AX5" s="285"/>
      <c r="AY5" s="285"/>
      <c r="AZ5" s="282"/>
      <c r="BA5" s="282"/>
      <c r="BB5" s="281"/>
      <c r="BC5" s="281"/>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83"/>
      <c r="DC5" s="282"/>
      <c r="DD5" s="282"/>
      <c r="DE5" s="282"/>
      <c r="DF5" s="282"/>
      <c r="DG5" s="282"/>
      <c r="DH5" s="282"/>
      <c r="DI5" s="282"/>
      <c r="DJ5" s="282"/>
      <c r="DK5" s="282"/>
      <c r="DL5" s="282"/>
      <c r="DM5" s="282"/>
      <c r="DN5" s="281"/>
      <c r="DO5" s="286"/>
      <c r="DP5" s="282"/>
      <c r="DQ5" s="282"/>
      <c r="DR5" s="283"/>
      <c r="DS5" s="282"/>
      <c r="DT5" s="282"/>
      <c r="DU5" s="282"/>
      <c r="DV5" s="282"/>
      <c r="DW5" s="282"/>
      <c r="DX5" s="282"/>
      <c r="DY5" s="282"/>
      <c r="DZ5" s="282"/>
      <c r="EA5" s="281"/>
      <c r="EB5" s="282"/>
      <c r="EC5" s="282"/>
      <c r="ED5" s="283"/>
      <c r="EE5" s="283"/>
      <c r="EF5" s="282"/>
      <c r="EG5" s="282"/>
      <c r="EH5" s="282"/>
      <c r="EI5" s="283"/>
      <c r="EJ5" s="282"/>
    </row>
    <row r="6" spans="1:173" s="289" customFormat="1" ht="13.5" thickBot="1" x14ac:dyDescent="0.25">
      <c r="A6" s="287" t="s">
        <v>645</v>
      </c>
      <c r="B6" s="288"/>
      <c r="C6" s="288"/>
      <c r="E6" s="290"/>
      <c r="F6" s="291"/>
      <c r="G6" s="291"/>
      <c r="H6" s="291"/>
      <c r="I6" s="291"/>
      <c r="J6" s="291"/>
      <c r="K6" s="291"/>
      <c r="L6" s="291"/>
      <c r="M6" s="291"/>
      <c r="N6" s="291"/>
      <c r="O6" s="292"/>
      <c r="P6" s="293"/>
      <c r="Q6" s="292"/>
      <c r="R6" s="292"/>
      <c r="S6" s="293"/>
      <c r="T6" s="292"/>
      <c r="U6" s="292"/>
      <c r="V6" s="293"/>
      <c r="W6" s="292"/>
      <c r="X6" s="293"/>
      <c r="Y6" s="293"/>
      <c r="Z6" s="294"/>
      <c r="AA6" s="292"/>
      <c r="AB6" s="293"/>
      <c r="AC6" s="295"/>
      <c r="AD6" s="296"/>
      <c r="AE6" s="296"/>
      <c r="AF6" s="296"/>
      <c r="AG6" s="296"/>
      <c r="AH6" s="296"/>
      <c r="AI6" s="297"/>
      <c r="AJ6" s="296"/>
      <c r="AK6" s="298"/>
      <c r="AL6" s="299"/>
      <c r="AM6" s="300"/>
      <c r="AN6" s="298"/>
      <c r="AO6" s="301"/>
      <c r="AP6" s="298"/>
      <c r="AQ6" s="302"/>
      <c r="AR6" s="303"/>
      <c r="AT6" s="295"/>
      <c r="AU6" s="296"/>
      <c r="AV6" s="296"/>
      <c r="AW6" s="298"/>
      <c r="AX6" s="304" t="s">
        <v>646</v>
      </c>
      <c r="AY6" s="304"/>
      <c r="AZ6" s="295"/>
      <c r="BA6" s="296"/>
      <c r="BB6" s="305"/>
      <c r="BC6" s="305"/>
      <c r="BD6" s="306"/>
      <c r="BE6" s="307"/>
      <c r="BF6" s="295"/>
      <c r="BG6" s="296"/>
      <c r="BH6" s="296"/>
      <c r="BI6" s="296"/>
      <c r="BJ6" s="308"/>
      <c r="BK6" s="291"/>
      <c r="BL6" s="309" t="s">
        <v>647</v>
      </c>
      <c r="BM6" s="296"/>
      <c r="BN6" s="298"/>
      <c r="BO6" s="299"/>
      <c r="BP6" s="298"/>
      <c r="BQ6" s="310"/>
      <c r="BR6" s="298"/>
      <c r="BS6" s="311"/>
      <c r="BT6" s="312"/>
      <c r="BU6" s="291"/>
      <c r="BV6" s="291"/>
      <c r="BW6" s="313" t="s">
        <v>648</v>
      </c>
      <c r="BX6" s="314"/>
      <c r="BZ6" s="290"/>
      <c r="CA6" s="291"/>
      <c r="CB6" s="291"/>
      <c r="CC6" s="314"/>
      <c r="CE6" s="315"/>
      <c r="CG6" s="290"/>
      <c r="CH6" s="291"/>
      <c r="CI6" s="291"/>
      <c r="CJ6" s="314"/>
      <c r="CL6" s="290"/>
      <c r="CM6" s="316"/>
      <c r="CN6" s="291"/>
      <c r="CO6" s="291"/>
      <c r="CP6" s="290" t="s">
        <v>649</v>
      </c>
      <c r="CQ6" s="291" t="s">
        <v>649</v>
      </c>
      <c r="CR6" s="314" t="s">
        <v>649</v>
      </c>
      <c r="CS6" s="317"/>
      <c r="CT6" s="317"/>
      <c r="CU6" s="317"/>
      <c r="CV6" s="317"/>
      <c r="CW6" s="318"/>
      <c r="CX6" s="319"/>
      <c r="CY6" s="320"/>
      <c r="CZ6" s="321"/>
      <c r="DA6" s="301"/>
      <c r="DB6" s="322"/>
      <c r="DC6" s="296"/>
      <c r="DD6" s="298"/>
      <c r="DF6" s="301"/>
      <c r="DG6" s="298"/>
      <c r="DH6" s="295"/>
      <c r="DI6" s="298"/>
      <c r="DJ6" s="323"/>
      <c r="DK6" s="323"/>
      <c r="DL6" s="315"/>
      <c r="DM6" s="324" t="s">
        <v>650</v>
      </c>
      <c r="DN6" s="325" t="s">
        <v>651</v>
      </c>
      <c r="DO6" s="326" t="s">
        <v>652</v>
      </c>
      <c r="DP6" s="298"/>
      <c r="DQ6" s="327"/>
      <c r="DR6" s="328"/>
      <c r="DS6" s="324" t="s">
        <v>653</v>
      </c>
      <c r="DT6" s="295"/>
      <c r="DU6" s="298" t="s">
        <v>654</v>
      </c>
      <c r="DV6" s="329"/>
      <c r="DW6" s="329"/>
      <c r="DX6" s="330"/>
      <c r="DY6" s="330"/>
      <c r="DZ6" s="331">
        <v>2012</v>
      </c>
      <c r="EA6" s="332"/>
      <c r="EB6" s="299" t="s">
        <v>655</v>
      </c>
      <c r="EC6" s="299" t="s">
        <v>656</v>
      </c>
      <c r="ED6" s="333" t="s">
        <v>657</v>
      </c>
      <c r="EE6" s="334"/>
      <c r="EF6" s="331">
        <v>2012</v>
      </c>
      <c r="EG6" s="331">
        <v>2012</v>
      </c>
      <c r="EH6" s="335"/>
      <c r="EI6" s="336"/>
      <c r="EJ6" s="335">
        <v>2012</v>
      </c>
      <c r="EN6" s="1392" t="s">
        <v>658</v>
      </c>
      <c r="EO6" s="1393"/>
      <c r="EP6" s="1393"/>
      <c r="EQ6" s="1393"/>
      <c r="ER6" s="1393"/>
      <c r="ES6" s="1393"/>
      <c r="ET6" s="1393"/>
      <c r="EU6" s="1393"/>
      <c r="EV6" s="1393"/>
      <c r="EW6" s="1393"/>
      <c r="EX6" s="1394"/>
      <c r="EY6" s="756"/>
    </row>
    <row r="7" spans="1:173" s="289" customFormat="1" x14ac:dyDescent="0.2">
      <c r="A7" s="337" t="s">
        <v>659</v>
      </c>
      <c r="B7" s="288"/>
      <c r="C7" s="288"/>
      <c r="E7" s="338"/>
      <c r="F7" s="339"/>
      <c r="G7" s="339"/>
      <c r="H7" s="339"/>
      <c r="I7" s="339"/>
      <c r="J7" s="339"/>
      <c r="K7" s="339"/>
      <c r="L7" s="339"/>
      <c r="M7" s="339"/>
      <c r="N7" s="340"/>
      <c r="O7" s="340"/>
      <c r="P7" s="341"/>
      <c r="Q7" s="340"/>
      <c r="R7" s="340"/>
      <c r="S7" s="341"/>
      <c r="T7" s="340"/>
      <c r="U7" s="340"/>
      <c r="V7" s="341"/>
      <c r="W7" s="340"/>
      <c r="X7" s="341"/>
      <c r="Y7" s="341"/>
      <c r="Z7" s="342" t="s">
        <v>660</v>
      </c>
      <c r="AA7" s="343" t="s">
        <v>661</v>
      </c>
      <c r="AB7" s="344" t="s">
        <v>661</v>
      </c>
      <c r="AC7" s="345" t="s">
        <v>662</v>
      </c>
      <c r="AD7" s="346" t="s">
        <v>662</v>
      </c>
      <c r="AE7" s="346" t="s">
        <v>636</v>
      </c>
      <c r="AF7" s="346" t="s">
        <v>636</v>
      </c>
      <c r="AG7" s="346" t="s">
        <v>663</v>
      </c>
      <c r="AH7" s="346" t="s">
        <v>663</v>
      </c>
      <c r="AI7" s="347" t="s">
        <v>636</v>
      </c>
      <c r="AJ7" s="348" t="s">
        <v>664</v>
      </c>
      <c r="AK7" s="349" t="s">
        <v>664</v>
      </c>
      <c r="AL7" s="350" t="s">
        <v>665</v>
      </c>
      <c r="AM7" s="351" t="s">
        <v>666</v>
      </c>
      <c r="AN7" s="352" t="s">
        <v>667</v>
      </c>
      <c r="AO7" s="353" t="s">
        <v>668</v>
      </c>
      <c r="AP7" s="354" t="s">
        <v>668</v>
      </c>
      <c r="AQ7" s="355" t="s">
        <v>669</v>
      </c>
      <c r="AR7" s="356" t="s">
        <v>669</v>
      </c>
      <c r="AT7" s="357"/>
      <c r="AU7" s="348"/>
      <c r="AV7" s="348"/>
      <c r="AW7" s="349"/>
      <c r="AX7" s="358" t="s">
        <v>670</v>
      </c>
      <c r="AY7" s="358"/>
      <c r="AZ7" s="359"/>
      <c r="BA7" s="360"/>
      <c r="BB7" s="361" t="s">
        <v>671</v>
      </c>
      <c r="BC7" s="361" t="s">
        <v>671</v>
      </c>
      <c r="BD7" s="362" t="s">
        <v>671</v>
      </c>
      <c r="BE7" s="363" t="s">
        <v>671</v>
      </c>
      <c r="BF7" s="364">
        <v>40179</v>
      </c>
      <c r="BG7" s="364">
        <v>40179</v>
      </c>
      <c r="BH7" s="364">
        <v>40544</v>
      </c>
      <c r="BI7" s="364">
        <v>40544</v>
      </c>
      <c r="BJ7" s="364">
        <v>40909</v>
      </c>
      <c r="BK7" s="364">
        <v>40909</v>
      </c>
      <c r="BL7" s="360"/>
      <c r="BM7" s="360"/>
      <c r="BN7" s="365"/>
      <c r="BO7" s="366" t="s">
        <v>672</v>
      </c>
      <c r="BP7" s="365" t="s">
        <v>672</v>
      </c>
      <c r="BQ7" s="367"/>
      <c r="BR7" s="368"/>
      <c r="BS7" s="369" t="s">
        <v>673</v>
      </c>
      <c r="BT7" s="370" t="s">
        <v>673</v>
      </c>
      <c r="BU7" s="339" t="s">
        <v>290</v>
      </c>
      <c r="BV7" s="339" t="s">
        <v>674</v>
      </c>
      <c r="BW7" s="367" t="s">
        <v>675</v>
      </c>
      <c r="BX7" s="368" t="s">
        <v>675</v>
      </c>
      <c r="BZ7" s="371" t="s">
        <v>676</v>
      </c>
      <c r="CA7" s="340" t="s">
        <v>676</v>
      </c>
      <c r="CB7" s="340" t="s">
        <v>676</v>
      </c>
      <c r="CC7" s="372" t="s">
        <v>676</v>
      </c>
      <c r="CE7" s="373"/>
      <c r="CG7" s="357" t="s">
        <v>665</v>
      </c>
      <c r="CH7" s="339"/>
      <c r="CI7" s="348" t="s">
        <v>665</v>
      </c>
      <c r="CJ7" s="349" t="s">
        <v>665</v>
      </c>
      <c r="CL7" s="374"/>
      <c r="CM7" s="375"/>
      <c r="CN7" s="339" t="s">
        <v>677</v>
      </c>
      <c r="CO7" s="339" t="s">
        <v>677</v>
      </c>
      <c r="CP7" s="338" t="s">
        <v>678</v>
      </c>
      <c r="CQ7" s="339" t="s">
        <v>678</v>
      </c>
      <c r="CR7" s="368" t="s">
        <v>678</v>
      </c>
      <c r="CS7" s="376" t="s">
        <v>679</v>
      </c>
      <c r="CT7" s="376" t="s">
        <v>679</v>
      </c>
      <c r="CU7" s="376" t="s">
        <v>679</v>
      </c>
      <c r="CV7" s="376" t="s">
        <v>679</v>
      </c>
      <c r="CW7" s="362" t="s">
        <v>680</v>
      </c>
      <c r="CX7" s="377" t="s">
        <v>661</v>
      </c>
      <c r="CY7" s="345" t="s">
        <v>681</v>
      </c>
      <c r="CZ7" s="376" t="s">
        <v>682</v>
      </c>
      <c r="DA7" s="378"/>
      <c r="DB7" s="379"/>
      <c r="DC7" s="339"/>
      <c r="DD7" s="368"/>
      <c r="DF7" s="378" t="s">
        <v>683</v>
      </c>
      <c r="DG7" s="365" t="s">
        <v>683</v>
      </c>
      <c r="DH7" s="380" t="s">
        <v>684</v>
      </c>
      <c r="DI7" s="352" t="s">
        <v>684</v>
      </c>
      <c r="DJ7" s="381" t="s">
        <v>684</v>
      </c>
      <c r="DK7" s="381" t="s">
        <v>684</v>
      </c>
      <c r="DL7" s="382" t="s">
        <v>650</v>
      </c>
      <c r="DM7" s="382" t="s">
        <v>685</v>
      </c>
      <c r="DN7" s="383" t="s">
        <v>686</v>
      </c>
      <c r="DO7" s="378" t="s">
        <v>687</v>
      </c>
      <c r="DP7" s="368"/>
      <c r="DQ7" s="384" t="s">
        <v>688</v>
      </c>
      <c r="DR7" s="385" t="s">
        <v>689</v>
      </c>
      <c r="DS7" s="382" t="s">
        <v>689</v>
      </c>
      <c r="DT7" s="359" t="s">
        <v>654</v>
      </c>
      <c r="DU7" s="365" t="s">
        <v>690</v>
      </c>
      <c r="DV7" s="386"/>
      <c r="DW7" s="387" t="s">
        <v>691</v>
      </c>
      <c r="DX7" s="388" t="s">
        <v>657</v>
      </c>
      <c r="DY7" s="388" t="s">
        <v>692</v>
      </c>
      <c r="DZ7" s="389">
        <v>2013</v>
      </c>
      <c r="EA7" s="390" t="s">
        <v>693</v>
      </c>
      <c r="EB7" s="366"/>
      <c r="EC7" s="366"/>
      <c r="ED7" s="391" t="s">
        <v>694</v>
      </c>
      <c r="EE7" s="334"/>
      <c r="EF7" s="389">
        <v>2013</v>
      </c>
      <c r="EG7" s="389">
        <v>2013</v>
      </c>
      <c r="EH7" s="392" t="s">
        <v>695</v>
      </c>
      <c r="EI7" s="393"/>
      <c r="EJ7" s="392">
        <v>2013</v>
      </c>
    </row>
    <row r="8" spans="1:173" s="289" customFormat="1" x14ac:dyDescent="0.2">
      <c r="A8" s="394" t="s">
        <v>696</v>
      </c>
      <c r="B8" s="288"/>
      <c r="C8" s="288"/>
      <c r="E8" s="357" t="s">
        <v>697</v>
      </c>
      <c r="F8" s="348" t="s">
        <v>698</v>
      </c>
      <c r="G8" s="395" t="s">
        <v>699</v>
      </c>
      <c r="H8" s="348" t="s">
        <v>700</v>
      </c>
      <c r="I8" s="348" t="s">
        <v>698</v>
      </c>
      <c r="J8" s="395" t="s">
        <v>699</v>
      </c>
      <c r="K8" s="348" t="s">
        <v>701</v>
      </c>
      <c r="L8" s="348" t="s">
        <v>698</v>
      </c>
      <c r="M8" s="395" t="s">
        <v>699</v>
      </c>
      <c r="N8" s="343" t="s">
        <v>702</v>
      </c>
      <c r="O8" s="343" t="s">
        <v>699</v>
      </c>
      <c r="P8" s="396" t="s">
        <v>699</v>
      </c>
      <c r="Q8" s="343" t="s">
        <v>703</v>
      </c>
      <c r="R8" s="343" t="s">
        <v>699</v>
      </c>
      <c r="S8" s="396" t="s">
        <v>699</v>
      </c>
      <c r="T8" s="343" t="s">
        <v>704</v>
      </c>
      <c r="U8" s="343" t="s">
        <v>699</v>
      </c>
      <c r="V8" s="343" t="s">
        <v>699</v>
      </c>
      <c r="W8" s="343" t="s">
        <v>705</v>
      </c>
      <c r="X8" s="343" t="s">
        <v>699</v>
      </c>
      <c r="Y8" s="343" t="s">
        <v>699</v>
      </c>
      <c r="Z8" s="342" t="s">
        <v>706</v>
      </c>
      <c r="AA8" s="346" t="s">
        <v>699</v>
      </c>
      <c r="AB8" s="344" t="s">
        <v>699</v>
      </c>
      <c r="AC8" s="345" t="s">
        <v>707</v>
      </c>
      <c r="AD8" s="346" t="s">
        <v>707</v>
      </c>
      <c r="AE8" s="346" t="s">
        <v>708</v>
      </c>
      <c r="AF8" s="346" t="s">
        <v>708</v>
      </c>
      <c r="AG8" s="346" t="s">
        <v>709</v>
      </c>
      <c r="AH8" s="346" t="s">
        <v>709</v>
      </c>
      <c r="AI8" s="347" t="s">
        <v>661</v>
      </c>
      <c r="AJ8" s="397" t="s">
        <v>710</v>
      </c>
      <c r="AK8" s="349" t="s">
        <v>710</v>
      </c>
      <c r="AL8" s="398" t="s">
        <v>711</v>
      </c>
      <c r="AM8" s="399" t="s">
        <v>712</v>
      </c>
      <c r="AN8" s="349" t="s">
        <v>712</v>
      </c>
      <c r="AO8" s="400" t="s">
        <v>712</v>
      </c>
      <c r="AP8" s="401" t="s">
        <v>712</v>
      </c>
      <c r="AQ8" s="355" t="s">
        <v>713</v>
      </c>
      <c r="AR8" s="356" t="s">
        <v>713</v>
      </c>
      <c r="AT8" s="357" t="s">
        <v>655</v>
      </c>
      <c r="AU8" s="348" t="s">
        <v>655</v>
      </c>
      <c r="AV8" s="348" t="s">
        <v>714</v>
      </c>
      <c r="AW8" s="349" t="s">
        <v>655</v>
      </c>
      <c r="AX8" s="358"/>
      <c r="AY8" s="358"/>
      <c r="AZ8" s="359"/>
      <c r="BA8" s="360"/>
      <c r="BB8" s="361" t="s">
        <v>715</v>
      </c>
      <c r="BC8" s="361" t="s">
        <v>715</v>
      </c>
      <c r="BD8" s="362" t="s">
        <v>665</v>
      </c>
      <c r="BE8" s="363" t="s">
        <v>716</v>
      </c>
      <c r="BF8" s="402" t="s">
        <v>717</v>
      </c>
      <c r="BG8" s="360" t="s">
        <v>718</v>
      </c>
      <c r="BH8" s="360" t="s">
        <v>717</v>
      </c>
      <c r="BI8" s="360" t="s">
        <v>718</v>
      </c>
      <c r="BJ8" s="360" t="s">
        <v>717</v>
      </c>
      <c r="BK8" s="360" t="s">
        <v>718</v>
      </c>
      <c r="BL8" s="360" t="s">
        <v>661</v>
      </c>
      <c r="BM8" s="360" t="s">
        <v>718</v>
      </c>
      <c r="BN8" s="365" t="s">
        <v>342</v>
      </c>
      <c r="BO8" s="366" t="s">
        <v>665</v>
      </c>
      <c r="BP8" s="365" t="s">
        <v>665</v>
      </c>
      <c r="BQ8" s="400" t="s">
        <v>665</v>
      </c>
      <c r="BR8" s="377"/>
      <c r="BS8" s="369" t="s">
        <v>719</v>
      </c>
      <c r="BT8" s="370" t="s">
        <v>716</v>
      </c>
      <c r="BU8" s="339" t="s">
        <v>720</v>
      </c>
      <c r="BV8" s="339" t="s">
        <v>721</v>
      </c>
      <c r="BW8" s="367" t="s">
        <v>722</v>
      </c>
      <c r="BX8" s="368"/>
      <c r="BZ8" s="371" t="s">
        <v>723</v>
      </c>
      <c r="CA8" s="340" t="s">
        <v>723</v>
      </c>
      <c r="CB8" s="340" t="s">
        <v>723</v>
      </c>
      <c r="CC8" s="372" t="s">
        <v>724</v>
      </c>
      <c r="CE8" s="373" t="s">
        <v>725</v>
      </c>
      <c r="CG8" s="357" t="s">
        <v>711</v>
      </c>
      <c r="CH8" s="339"/>
      <c r="CI8" s="348" t="s">
        <v>726</v>
      </c>
      <c r="CJ8" s="349" t="s">
        <v>726</v>
      </c>
      <c r="CL8" s="403" t="s">
        <v>682</v>
      </c>
      <c r="CM8" s="375"/>
      <c r="CN8" s="339" t="s">
        <v>727</v>
      </c>
      <c r="CO8" s="339" t="s">
        <v>727</v>
      </c>
      <c r="CP8" s="338" t="s">
        <v>728</v>
      </c>
      <c r="CQ8" s="339" t="s">
        <v>728</v>
      </c>
      <c r="CR8" s="368" t="s">
        <v>728</v>
      </c>
      <c r="CS8" s="376" t="s">
        <v>729</v>
      </c>
      <c r="CT8" s="376" t="s">
        <v>729</v>
      </c>
      <c r="CU8" s="376" t="s">
        <v>729</v>
      </c>
      <c r="CV8" s="376" t="s">
        <v>729</v>
      </c>
      <c r="CW8" s="362" t="s">
        <v>729</v>
      </c>
      <c r="CX8" s="377" t="s">
        <v>729</v>
      </c>
      <c r="CY8" s="402" t="s">
        <v>682</v>
      </c>
      <c r="CZ8" s="376" t="s">
        <v>730</v>
      </c>
      <c r="DA8" s="378" t="s">
        <v>731</v>
      </c>
      <c r="DB8" s="379" t="s">
        <v>732</v>
      </c>
      <c r="DC8" s="397" t="s">
        <v>733</v>
      </c>
      <c r="DD8" s="352" t="s">
        <v>733</v>
      </c>
      <c r="DF8" s="378" t="s">
        <v>734</v>
      </c>
      <c r="DG8" s="365" t="s">
        <v>734</v>
      </c>
      <c r="DH8" s="357" t="s">
        <v>734</v>
      </c>
      <c r="DI8" s="349" t="s">
        <v>734</v>
      </c>
      <c r="DJ8" s="404" t="s">
        <v>735</v>
      </c>
      <c r="DK8" s="381" t="s">
        <v>736</v>
      </c>
      <c r="DL8" s="382" t="s">
        <v>737</v>
      </c>
      <c r="DM8" s="382" t="s">
        <v>737</v>
      </c>
      <c r="DN8" s="383" t="s">
        <v>737</v>
      </c>
      <c r="DO8" s="326" t="s">
        <v>738</v>
      </c>
      <c r="DP8" s="365" t="s">
        <v>652</v>
      </c>
      <c r="DQ8" s="384" t="s">
        <v>739</v>
      </c>
      <c r="DR8" s="385" t="s">
        <v>716</v>
      </c>
      <c r="DS8" s="382" t="s">
        <v>716</v>
      </c>
      <c r="DT8" s="359" t="s">
        <v>690</v>
      </c>
      <c r="DU8" s="365" t="s">
        <v>740</v>
      </c>
      <c r="DV8" s="387" t="s">
        <v>653</v>
      </c>
      <c r="DW8" s="387" t="s">
        <v>741</v>
      </c>
      <c r="DX8" s="388" t="s">
        <v>742</v>
      </c>
      <c r="DY8" s="388"/>
      <c r="DZ8" s="389" t="s">
        <v>743</v>
      </c>
      <c r="EA8" s="390" t="s">
        <v>706</v>
      </c>
      <c r="EB8" s="366"/>
      <c r="EC8" s="366"/>
      <c r="ED8" s="391"/>
      <c r="EE8" s="334"/>
      <c r="EF8" s="389" t="s">
        <v>743</v>
      </c>
      <c r="EG8" s="389" t="s">
        <v>743</v>
      </c>
      <c r="EH8" s="392" t="s">
        <v>744</v>
      </c>
      <c r="EI8" s="393" t="s">
        <v>716</v>
      </c>
      <c r="EJ8" s="392" t="s">
        <v>745</v>
      </c>
    </row>
    <row r="9" spans="1:173" s="289" customFormat="1" x14ac:dyDescent="0.2">
      <c r="A9" s="405" t="s">
        <v>746</v>
      </c>
      <c r="B9" s="288"/>
      <c r="C9" s="288"/>
      <c r="E9" s="338"/>
      <c r="F9" s="348" t="s">
        <v>747</v>
      </c>
      <c r="G9" s="395" t="s">
        <v>716</v>
      </c>
      <c r="H9" s="348"/>
      <c r="I9" s="348" t="s">
        <v>747</v>
      </c>
      <c r="J9" s="395" t="s">
        <v>716</v>
      </c>
      <c r="K9" s="348"/>
      <c r="L9" s="348" t="s">
        <v>747</v>
      </c>
      <c r="M9" s="395" t="s">
        <v>716</v>
      </c>
      <c r="N9" s="343" t="s">
        <v>710</v>
      </c>
      <c r="O9" s="343" t="s">
        <v>747</v>
      </c>
      <c r="P9" s="396" t="s">
        <v>716</v>
      </c>
      <c r="Q9" s="343" t="s">
        <v>710</v>
      </c>
      <c r="R9" s="343" t="s">
        <v>747</v>
      </c>
      <c r="S9" s="396" t="s">
        <v>716</v>
      </c>
      <c r="T9" s="343" t="s">
        <v>710</v>
      </c>
      <c r="U9" s="343" t="s">
        <v>747</v>
      </c>
      <c r="V9" s="343" t="s">
        <v>716</v>
      </c>
      <c r="W9" s="343" t="s">
        <v>710</v>
      </c>
      <c r="X9" s="343" t="s">
        <v>747</v>
      </c>
      <c r="Y9" s="343" t="s">
        <v>716</v>
      </c>
      <c r="Z9" s="342" t="s">
        <v>661</v>
      </c>
      <c r="AA9" s="343" t="s">
        <v>747</v>
      </c>
      <c r="AB9" s="343" t="s">
        <v>716</v>
      </c>
      <c r="AC9" s="345"/>
      <c r="AD9" s="346" t="s">
        <v>716</v>
      </c>
      <c r="AE9" s="346"/>
      <c r="AF9" s="346" t="s">
        <v>716</v>
      </c>
      <c r="AG9" s="346"/>
      <c r="AH9" s="346" t="s">
        <v>716</v>
      </c>
      <c r="AI9" s="347" t="s">
        <v>716</v>
      </c>
      <c r="AJ9" s="348" t="s">
        <v>747</v>
      </c>
      <c r="AK9" s="349" t="s">
        <v>716</v>
      </c>
      <c r="AL9" s="382" t="s">
        <v>748</v>
      </c>
      <c r="AM9" s="399" t="s">
        <v>747</v>
      </c>
      <c r="AN9" s="349" t="s">
        <v>716</v>
      </c>
      <c r="AO9" s="400" t="s">
        <v>747</v>
      </c>
      <c r="AP9" s="368" t="s">
        <v>716</v>
      </c>
      <c r="AQ9" s="355" t="s">
        <v>747</v>
      </c>
      <c r="AR9" s="356" t="s">
        <v>716</v>
      </c>
      <c r="AT9" s="406">
        <v>40909</v>
      </c>
      <c r="AU9" s="406">
        <v>41275</v>
      </c>
      <c r="AV9" s="339" t="s">
        <v>655</v>
      </c>
      <c r="AW9" s="368" t="s">
        <v>716</v>
      </c>
      <c r="AX9" s="358"/>
      <c r="AY9" s="358"/>
      <c r="AZ9" s="359"/>
      <c r="BA9" s="360"/>
      <c r="BB9" s="361" t="s">
        <v>749</v>
      </c>
      <c r="BC9" s="361" t="s">
        <v>716</v>
      </c>
      <c r="BD9" s="362" t="s">
        <v>719</v>
      </c>
      <c r="BE9" s="363"/>
      <c r="BF9" s="402" t="s">
        <v>750</v>
      </c>
      <c r="BG9" s="360" t="s">
        <v>712</v>
      </c>
      <c r="BH9" s="360" t="s">
        <v>750</v>
      </c>
      <c r="BI9" s="360" t="s">
        <v>712</v>
      </c>
      <c r="BJ9" s="360" t="s">
        <v>750</v>
      </c>
      <c r="BK9" s="360" t="s">
        <v>712</v>
      </c>
      <c r="BL9" s="360" t="s">
        <v>750</v>
      </c>
      <c r="BM9" s="360" t="s">
        <v>712</v>
      </c>
      <c r="BN9" s="365" t="s">
        <v>751</v>
      </c>
      <c r="BO9" s="366" t="s">
        <v>747</v>
      </c>
      <c r="BP9" s="365" t="s">
        <v>716</v>
      </c>
      <c r="BQ9" s="400" t="s">
        <v>752</v>
      </c>
      <c r="BR9" s="368" t="s">
        <v>716</v>
      </c>
      <c r="BS9" s="369"/>
      <c r="BT9" s="370"/>
      <c r="BU9" s="339"/>
      <c r="BV9" s="339"/>
      <c r="BW9" s="367"/>
      <c r="BX9" s="368" t="s">
        <v>716</v>
      </c>
      <c r="BZ9" s="371" t="s">
        <v>753</v>
      </c>
      <c r="CA9" s="340" t="s">
        <v>754</v>
      </c>
      <c r="CB9" s="340" t="s">
        <v>755</v>
      </c>
      <c r="CC9" s="372" t="s">
        <v>716</v>
      </c>
      <c r="CE9" s="382"/>
      <c r="CG9" s="357" t="s">
        <v>747</v>
      </c>
      <c r="CH9" s="348" t="s">
        <v>726</v>
      </c>
      <c r="CI9" s="348" t="s">
        <v>747</v>
      </c>
      <c r="CJ9" s="349" t="s">
        <v>756</v>
      </c>
      <c r="CL9" s="357" t="s">
        <v>730</v>
      </c>
      <c r="CM9" s="399" t="s">
        <v>757</v>
      </c>
      <c r="CN9" s="339" t="s">
        <v>747</v>
      </c>
      <c r="CO9" s="339" t="s">
        <v>716</v>
      </c>
      <c r="CP9" s="338" t="s">
        <v>758</v>
      </c>
      <c r="CQ9" s="339" t="s">
        <v>747</v>
      </c>
      <c r="CR9" s="368" t="s">
        <v>716</v>
      </c>
      <c r="CS9" s="376" t="s">
        <v>759</v>
      </c>
      <c r="CT9" s="376" t="s">
        <v>760</v>
      </c>
      <c r="CU9" s="376" t="s">
        <v>761</v>
      </c>
      <c r="CV9" s="376" t="s">
        <v>762</v>
      </c>
      <c r="CW9" s="362" t="s">
        <v>763</v>
      </c>
      <c r="CX9" s="377" t="s">
        <v>716</v>
      </c>
      <c r="CY9" s="402" t="s">
        <v>730</v>
      </c>
      <c r="CZ9" s="376" t="s">
        <v>716</v>
      </c>
      <c r="DA9" s="378" t="s">
        <v>764</v>
      </c>
      <c r="DB9" s="379" t="s">
        <v>765</v>
      </c>
      <c r="DC9" s="348" t="s">
        <v>747</v>
      </c>
      <c r="DD9" s="368" t="s">
        <v>716</v>
      </c>
      <c r="DF9" s="378" t="s">
        <v>747</v>
      </c>
      <c r="DG9" s="365" t="s">
        <v>716</v>
      </c>
      <c r="DH9" s="357"/>
      <c r="DI9" s="349" t="s">
        <v>716</v>
      </c>
      <c r="DJ9" s="381"/>
      <c r="DK9" s="381" t="s">
        <v>766</v>
      </c>
      <c r="DL9" s="382"/>
      <c r="DM9" s="382"/>
      <c r="DN9" s="383"/>
      <c r="DO9" s="407" t="s">
        <v>767</v>
      </c>
      <c r="DP9" s="377" t="s">
        <v>716</v>
      </c>
      <c r="DQ9" s="384" t="s">
        <v>716</v>
      </c>
      <c r="DR9" s="385"/>
      <c r="DS9" s="382"/>
      <c r="DT9" s="359" t="s">
        <v>740</v>
      </c>
      <c r="DU9" s="365" t="s">
        <v>716</v>
      </c>
      <c r="DV9" s="387" t="s">
        <v>748</v>
      </c>
      <c r="DW9" s="387" t="s">
        <v>768</v>
      </c>
      <c r="DX9" s="408"/>
      <c r="DY9" s="408"/>
      <c r="DZ9" s="389" t="s">
        <v>716</v>
      </c>
      <c r="EA9" s="390" t="s">
        <v>769</v>
      </c>
      <c r="EB9" s="366"/>
      <c r="EC9" s="366"/>
      <c r="ED9" s="391"/>
      <c r="EE9" s="334"/>
      <c r="EF9" s="389" t="s">
        <v>716</v>
      </c>
      <c r="EG9" s="389" t="s">
        <v>770</v>
      </c>
      <c r="EH9" s="392" t="s">
        <v>771</v>
      </c>
      <c r="EI9" s="393" t="s">
        <v>771</v>
      </c>
      <c r="EJ9" s="392" t="s">
        <v>772</v>
      </c>
      <c r="EM9" s="289" t="s">
        <v>773</v>
      </c>
      <c r="EN9" s="289" t="s">
        <v>577</v>
      </c>
      <c r="EO9" s="289" t="s">
        <v>577</v>
      </c>
      <c r="EP9" s="289" t="s">
        <v>577</v>
      </c>
      <c r="EQ9" s="289" t="s">
        <v>577</v>
      </c>
      <c r="ER9" s="289" t="s">
        <v>577</v>
      </c>
      <c r="ES9" s="289" t="s">
        <v>577</v>
      </c>
      <c r="ET9" s="289" t="s">
        <v>577</v>
      </c>
      <c r="EU9" s="289" t="s">
        <v>577</v>
      </c>
      <c r="EV9" s="289" t="s">
        <v>577</v>
      </c>
      <c r="EW9" s="289" t="s">
        <v>577</v>
      </c>
      <c r="EX9" s="289" t="s">
        <v>577</v>
      </c>
      <c r="EY9" s="742" t="s">
        <v>993</v>
      </c>
      <c r="EZ9" s="289" t="s">
        <v>774</v>
      </c>
      <c r="FB9" s="289" t="s">
        <v>932</v>
      </c>
      <c r="FC9" s="289" t="s">
        <v>933</v>
      </c>
      <c r="FF9" s="289" t="s">
        <v>953</v>
      </c>
    </row>
    <row r="10" spans="1:173" s="289" customFormat="1" ht="33.75" x14ac:dyDescent="0.2">
      <c r="A10" s="409" t="s">
        <v>775</v>
      </c>
      <c r="E10" s="410"/>
      <c r="F10" s="411"/>
      <c r="G10" s="412" t="s">
        <v>776</v>
      </c>
      <c r="H10" s="411"/>
      <c r="I10" s="411"/>
      <c r="J10" s="413"/>
      <c r="K10" s="411"/>
      <c r="L10" s="411"/>
      <c r="M10" s="413"/>
      <c r="N10" s="412"/>
      <c r="O10" s="412"/>
      <c r="P10" s="414"/>
      <c r="Q10" s="412"/>
      <c r="R10" s="412"/>
      <c r="S10" s="414"/>
      <c r="T10" s="412"/>
      <c r="U10" s="412"/>
      <c r="V10" s="414"/>
      <c r="W10" s="412"/>
      <c r="X10" s="415"/>
      <c r="Y10" s="414"/>
      <c r="Z10" s="416"/>
      <c r="AA10" s="417"/>
      <c r="AB10" s="414" t="s">
        <v>777</v>
      </c>
      <c r="AC10" s="418"/>
      <c r="AD10" s="419"/>
      <c r="AE10" s="419"/>
      <c r="AF10" s="419"/>
      <c r="AG10" s="419"/>
      <c r="AH10" s="419"/>
      <c r="AI10" s="420" t="s">
        <v>777</v>
      </c>
      <c r="AJ10" s="412"/>
      <c r="AK10" s="421" t="s">
        <v>777</v>
      </c>
      <c r="AL10" s="422" t="s">
        <v>777</v>
      </c>
      <c r="AM10" s="423"/>
      <c r="AN10" s="421" t="s">
        <v>777</v>
      </c>
      <c r="AO10" s="424"/>
      <c r="AP10" s="421" t="s">
        <v>777</v>
      </c>
      <c r="AQ10" s="425"/>
      <c r="AR10" s="426" t="s">
        <v>777</v>
      </c>
      <c r="AT10" s="427" t="s">
        <v>778</v>
      </c>
      <c r="AU10" s="428" t="s">
        <v>779</v>
      </c>
      <c r="AV10" s="419"/>
      <c r="AW10" s="429" t="s">
        <v>777</v>
      </c>
      <c r="AX10" s="430"/>
      <c r="AY10" s="430" t="s">
        <v>777</v>
      </c>
      <c r="AZ10" s="418"/>
      <c r="BA10" s="419"/>
      <c r="BB10" s="431"/>
      <c r="BC10" s="431"/>
      <c r="BD10" s="432"/>
      <c r="BE10" s="433" t="s">
        <v>777</v>
      </c>
      <c r="BF10" s="434"/>
      <c r="BG10" s="435"/>
      <c r="BH10" s="419"/>
      <c r="BI10" s="419"/>
      <c r="BJ10" s="436"/>
      <c r="BK10" s="436"/>
      <c r="BL10" s="419"/>
      <c r="BM10" s="419"/>
      <c r="BN10" s="437"/>
      <c r="BO10" s="438"/>
      <c r="BP10" s="437" t="s">
        <v>777</v>
      </c>
      <c r="BQ10" s="439" t="s">
        <v>780</v>
      </c>
      <c r="BR10" s="440" t="s">
        <v>777</v>
      </c>
      <c r="BS10" s="441"/>
      <c r="BT10" s="442" t="s">
        <v>777</v>
      </c>
      <c r="BU10" s="435"/>
      <c r="BV10" s="435"/>
      <c r="BW10" s="443"/>
      <c r="BX10" s="444" t="s">
        <v>777</v>
      </c>
      <c r="BZ10" s="445"/>
      <c r="CA10" s="413"/>
      <c r="CB10" s="413"/>
      <c r="CC10" s="421" t="s">
        <v>777</v>
      </c>
      <c r="CE10" s="422" t="s">
        <v>777</v>
      </c>
      <c r="CG10" s="446"/>
      <c r="CH10" s="447"/>
      <c r="CI10" s="436"/>
      <c r="CJ10" s="448" t="s">
        <v>777</v>
      </c>
      <c r="CL10" s="446"/>
      <c r="CM10" s="449"/>
      <c r="CN10" s="435"/>
      <c r="CO10" s="447" t="s">
        <v>777</v>
      </c>
      <c r="CP10" s="410"/>
      <c r="CQ10" s="436"/>
      <c r="CR10" s="440" t="s">
        <v>777</v>
      </c>
      <c r="CS10" s="450"/>
      <c r="CT10" s="450"/>
      <c r="CU10" s="450"/>
      <c r="CV10" s="450"/>
      <c r="CW10" s="432"/>
      <c r="CX10" s="448" t="s">
        <v>777</v>
      </c>
      <c r="CY10" s="451"/>
      <c r="CZ10" s="450" t="s">
        <v>777</v>
      </c>
      <c r="DA10" s="452" t="s">
        <v>777</v>
      </c>
      <c r="DB10" s="453"/>
      <c r="DC10" s="447"/>
      <c r="DD10" s="421" t="s">
        <v>777</v>
      </c>
      <c r="DF10" s="452"/>
      <c r="DG10" s="437" t="s">
        <v>777</v>
      </c>
      <c r="DH10" s="454"/>
      <c r="DI10" s="421" t="s">
        <v>777</v>
      </c>
      <c r="DJ10" s="455" t="s">
        <v>777</v>
      </c>
      <c r="DK10" s="455" t="s">
        <v>777</v>
      </c>
      <c r="DL10" s="422" t="s">
        <v>777</v>
      </c>
      <c r="DM10" s="422" t="s">
        <v>777</v>
      </c>
      <c r="DN10" s="456" t="s">
        <v>777</v>
      </c>
      <c r="DO10" s="439" t="s">
        <v>781</v>
      </c>
      <c r="DP10" s="457" t="s">
        <v>777</v>
      </c>
      <c r="DQ10" s="458" t="s">
        <v>777</v>
      </c>
      <c r="DR10" s="459" t="s">
        <v>777</v>
      </c>
      <c r="DS10" s="422" t="s">
        <v>777</v>
      </c>
      <c r="DT10" s="418"/>
      <c r="DU10" s="437" t="s">
        <v>777</v>
      </c>
      <c r="DV10" s="460" t="s">
        <v>777</v>
      </c>
      <c r="DW10" s="460" t="s">
        <v>777</v>
      </c>
      <c r="DX10" s="461" t="s">
        <v>777</v>
      </c>
      <c r="DY10" s="461" t="s">
        <v>777</v>
      </c>
      <c r="DZ10" s="422"/>
      <c r="EA10" s="462" t="s">
        <v>777</v>
      </c>
      <c r="EB10" s="438" t="s">
        <v>777</v>
      </c>
      <c r="EC10" s="438" t="s">
        <v>777</v>
      </c>
      <c r="ED10" s="463" t="s">
        <v>777</v>
      </c>
      <c r="EE10" s="334"/>
      <c r="EF10" s="422" t="s">
        <v>777</v>
      </c>
      <c r="EG10" s="422" t="s">
        <v>777</v>
      </c>
      <c r="EH10" s="464" t="s">
        <v>782</v>
      </c>
      <c r="EI10" s="465" t="s">
        <v>782</v>
      </c>
      <c r="EJ10" s="464" t="s">
        <v>783</v>
      </c>
      <c r="EM10" s="289" t="s">
        <v>784</v>
      </c>
      <c r="EN10" s="289" t="s">
        <v>785</v>
      </c>
      <c r="EO10" s="289" t="s">
        <v>785</v>
      </c>
      <c r="EP10" s="289" t="s">
        <v>785</v>
      </c>
      <c r="EQ10" s="289" t="s">
        <v>786</v>
      </c>
      <c r="ER10" s="289" t="s">
        <v>786</v>
      </c>
      <c r="ES10" s="289" t="s">
        <v>786</v>
      </c>
      <c r="ET10" s="289" t="s">
        <v>786</v>
      </c>
      <c r="EU10" s="289" t="s">
        <v>786</v>
      </c>
      <c r="EV10" s="289" t="s">
        <v>635</v>
      </c>
      <c r="EW10" s="289" t="s">
        <v>635</v>
      </c>
      <c r="EX10" s="289" t="s">
        <v>787</v>
      </c>
      <c r="EY10" s="742" t="s">
        <v>994</v>
      </c>
      <c r="EZ10" s="289" t="s">
        <v>788</v>
      </c>
      <c r="FI10" s="742" t="s">
        <v>211</v>
      </c>
      <c r="FK10" s="759" t="s">
        <v>998</v>
      </c>
      <c r="FL10" s="759" t="s">
        <v>997</v>
      </c>
      <c r="FM10" s="742" t="s">
        <v>269</v>
      </c>
      <c r="FP10" s="742" t="s">
        <v>1001</v>
      </c>
      <c r="FQ10" s="742" t="s">
        <v>1002</v>
      </c>
    </row>
    <row r="11" spans="1:173" ht="14.25" x14ac:dyDescent="0.2">
      <c r="A11" s="466" t="s">
        <v>789</v>
      </c>
      <c r="E11" s="467"/>
      <c r="F11" s="288"/>
      <c r="G11" s="468"/>
      <c r="H11" s="467"/>
      <c r="I11" s="288"/>
      <c r="J11" s="288"/>
      <c r="K11" s="467"/>
      <c r="L11" s="288"/>
      <c r="M11" s="288"/>
      <c r="N11" s="467"/>
      <c r="O11" s="469"/>
      <c r="P11" s="470"/>
      <c r="Q11" s="467"/>
      <c r="R11" s="469"/>
      <c r="S11" s="470"/>
      <c r="T11" s="467"/>
      <c r="U11" s="469"/>
      <c r="V11" s="470"/>
      <c r="W11" s="467"/>
      <c r="X11" s="470"/>
      <c r="Y11" s="470"/>
      <c r="Z11" s="469"/>
      <c r="AA11" s="470"/>
      <c r="AB11" s="470"/>
      <c r="AC11" s="471"/>
      <c r="AD11" s="471"/>
      <c r="AE11" s="471"/>
      <c r="AF11" s="471"/>
      <c r="AG11" s="471"/>
      <c r="AH11" s="471"/>
      <c r="AI11" s="472"/>
      <c r="AJ11" s="467"/>
      <c r="AK11" s="471"/>
      <c r="AL11" s="467"/>
      <c r="AM11" s="467"/>
      <c r="AN11" s="471"/>
      <c r="AO11" s="467"/>
      <c r="AP11" s="471"/>
      <c r="AQ11" s="467"/>
      <c r="AR11" s="473"/>
      <c r="AS11" s="282"/>
      <c r="AT11" s="467"/>
      <c r="AU11" s="467"/>
      <c r="AV11" s="474"/>
      <c r="AW11" s="474"/>
      <c r="AX11" s="475"/>
      <c r="AY11" s="476"/>
      <c r="AZ11" s="477"/>
      <c r="BA11" s="478"/>
      <c r="BB11" s="479"/>
      <c r="BC11" s="479"/>
      <c r="BD11" s="477"/>
      <c r="BE11" s="474"/>
      <c r="BF11" s="467"/>
      <c r="BG11" s="467"/>
      <c r="BH11" s="467"/>
      <c r="BI11" s="467"/>
      <c r="BJ11" s="467"/>
      <c r="BK11" s="467"/>
      <c r="BL11" s="480"/>
      <c r="BM11" s="480"/>
      <c r="BN11" s="481"/>
      <c r="BO11" s="479"/>
      <c r="BP11" s="479"/>
      <c r="BQ11" s="467"/>
      <c r="BR11" s="471"/>
      <c r="BS11" s="467"/>
      <c r="BT11" s="471"/>
      <c r="BU11" s="471"/>
      <c r="BV11" s="471"/>
      <c r="BW11" s="467"/>
      <c r="BX11" s="471"/>
      <c r="BY11" s="282"/>
      <c r="BZ11" s="467"/>
      <c r="CA11" s="467"/>
      <c r="CB11" s="482"/>
      <c r="CC11" s="482"/>
      <c r="CD11" s="282"/>
      <c r="CE11" s="467"/>
      <c r="CF11" s="282"/>
      <c r="CG11" s="282"/>
      <c r="CH11" s="483"/>
      <c r="CI11" s="483"/>
      <c r="CJ11" s="471"/>
      <c r="CK11" s="282"/>
      <c r="CL11" s="467"/>
      <c r="CM11" s="467"/>
      <c r="CN11" s="483"/>
      <c r="CO11" s="471"/>
      <c r="CP11" s="282"/>
      <c r="CQ11" s="282"/>
      <c r="CR11" s="282"/>
      <c r="CS11" s="484"/>
      <c r="CT11" s="484"/>
      <c r="CU11" s="484"/>
      <c r="CV11" s="484"/>
      <c r="CW11" s="467"/>
      <c r="CX11" s="484"/>
      <c r="CY11" s="467"/>
      <c r="CZ11" s="471"/>
      <c r="DA11" s="467"/>
      <c r="DB11" s="472"/>
      <c r="DC11" s="481"/>
      <c r="DD11" s="471"/>
      <c r="DE11" s="282"/>
      <c r="DF11" s="481"/>
      <c r="DG11" s="484"/>
      <c r="DH11" s="471"/>
      <c r="DI11" s="471"/>
      <c r="DJ11" s="467"/>
      <c r="DK11" s="467"/>
      <c r="DL11" s="467"/>
      <c r="DM11" s="282"/>
      <c r="DN11" s="281"/>
      <c r="DO11" s="471"/>
      <c r="DP11" s="471"/>
      <c r="DQ11" s="467"/>
      <c r="DR11" s="472"/>
      <c r="DS11" s="467"/>
      <c r="DT11" s="480"/>
      <c r="DU11" s="485"/>
      <c r="DV11" s="467"/>
      <c r="DW11" s="467"/>
      <c r="DX11" s="486"/>
      <c r="DY11" s="486"/>
      <c r="DZ11" s="282"/>
      <c r="EA11" s="487"/>
      <c r="EB11" s="467"/>
      <c r="EC11" s="467"/>
      <c r="ED11" s="472"/>
      <c r="EE11" s="283"/>
      <c r="EF11" s="282"/>
      <c r="EG11" s="282"/>
      <c r="EH11" s="467"/>
      <c r="EI11" s="283"/>
      <c r="EJ11" s="282"/>
      <c r="EM11" s="488" t="s">
        <v>790</v>
      </c>
      <c r="EN11" s="488" t="s">
        <v>791</v>
      </c>
      <c r="EO11" s="488" t="s">
        <v>792</v>
      </c>
      <c r="EP11" s="488" t="s">
        <v>793</v>
      </c>
      <c r="EQ11" s="488" t="s">
        <v>794</v>
      </c>
      <c r="ER11" s="488" t="s">
        <v>795</v>
      </c>
      <c r="ES11" s="488" t="s">
        <v>796</v>
      </c>
      <c r="ET11" s="488" t="s">
        <v>636</v>
      </c>
      <c r="EU11" s="488" t="s">
        <v>797</v>
      </c>
      <c r="EV11" s="488" t="s">
        <v>798</v>
      </c>
      <c r="EW11" s="488" t="s">
        <v>689</v>
      </c>
      <c r="EX11" s="488" t="s">
        <v>799</v>
      </c>
      <c r="EY11" s="757" t="s">
        <v>971</v>
      </c>
    </row>
    <row r="12" spans="1:173" s="488" customFormat="1" x14ac:dyDescent="0.2">
      <c r="A12" s="489" t="s">
        <v>304</v>
      </c>
      <c r="B12" s="489" t="s">
        <v>800</v>
      </c>
      <c r="C12" s="489">
        <v>1014</v>
      </c>
      <c r="D12" s="488" t="s">
        <v>801</v>
      </c>
      <c r="E12" s="490"/>
      <c r="F12" s="490"/>
      <c r="G12" s="490"/>
      <c r="H12" s="490"/>
      <c r="I12" s="490"/>
      <c r="J12" s="490"/>
      <c r="K12" s="490"/>
      <c r="L12" s="490"/>
      <c r="M12" s="490"/>
      <c r="N12" s="490"/>
      <c r="O12" s="490"/>
      <c r="P12" s="490"/>
      <c r="Q12" s="490"/>
      <c r="R12" s="490"/>
      <c r="S12" s="490"/>
      <c r="T12" s="490"/>
      <c r="U12" s="491"/>
      <c r="V12" s="492"/>
      <c r="W12" s="491"/>
      <c r="X12" s="493"/>
      <c r="Y12" s="492"/>
      <c r="Z12" s="491"/>
      <c r="AA12" s="493"/>
      <c r="AB12" s="492"/>
      <c r="AC12" s="492"/>
      <c r="AD12" s="492"/>
      <c r="AE12" s="492"/>
      <c r="AF12" s="492"/>
      <c r="AG12" s="492"/>
      <c r="AH12" s="492"/>
      <c r="AI12" s="494"/>
      <c r="AJ12" s="492"/>
      <c r="AK12" s="492"/>
      <c r="AL12" s="492"/>
      <c r="AM12" s="285"/>
      <c r="AN12" s="492"/>
      <c r="AO12" s="285"/>
      <c r="AP12" s="492"/>
      <c r="AQ12" s="492"/>
      <c r="AR12" s="490"/>
      <c r="AS12" s="490"/>
      <c r="AT12" s="282"/>
      <c r="AU12" s="282"/>
      <c r="AV12" s="495"/>
      <c r="AW12" s="496"/>
      <c r="AX12" s="497"/>
      <c r="AY12" s="285"/>
      <c r="AZ12" s="498"/>
      <c r="BA12" s="499"/>
      <c r="BB12" s="500"/>
      <c r="BC12" s="500"/>
      <c r="BD12" s="496"/>
      <c r="BE12" s="496"/>
      <c r="BF12" s="285"/>
      <c r="BG12" s="285"/>
      <c r="BH12" s="285"/>
      <c r="BI12" s="285"/>
      <c r="BJ12" s="282"/>
      <c r="BK12" s="282"/>
      <c r="BL12" s="501"/>
      <c r="BM12" s="501"/>
      <c r="BN12" s="502"/>
      <c r="BO12" s="491"/>
      <c r="BP12" s="500"/>
      <c r="BQ12" s="282"/>
      <c r="BR12" s="492"/>
      <c r="BS12" s="282"/>
      <c r="BT12" s="492"/>
      <c r="BU12" s="492"/>
      <c r="BV12" s="492"/>
      <c r="BW12" s="282"/>
      <c r="BX12" s="492"/>
      <c r="BY12" s="490"/>
      <c r="BZ12" s="282"/>
      <c r="CA12" s="282"/>
      <c r="CB12" s="490"/>
      <c r="CC12" s="490"/>
      <c r="CD12" s="490"/>
      <c r="CE12" s="282"/>
      <c r="CF12" s="490"/>
      <c r="CG12" s="503"/>
      <c r="CH12" s="493"/>
      <c r="CI12" s="493"/>
      <c r="CJ12" s="492"/>
      <c r="CK12" s="490"/>
      <c r="CL12" s="498"/>
      <c r="CM12" s="498"/>
      <c r="CN12" s="493"/>
      <c r="CO12" s="492"/>
      <c r="CP12" s="490"/>
      <c r="CQ12" s="490"/>
      <c r="CR12" s="490"/>
      <c r="CS12" s="504"/>
      <c r="CT12" s="504"/>
      <c r="CU12" s="504"/>
      <c r="CV12" s="504"/>
      <c r="CW12" s="504"/>
      <c r="CX12" s="504"/>
      <c r="CY12" s="505"/>
      <c r="CZ12" s="492"/>
      <c r="DA12" s="506">
        <v>6560.64</v>
      </c>
      <c r="DB12" s="507"/>
      <c r="DC12" s="495"/>
      <c r="DD12" s="492"/>
      <c r="DE12" s="490"/>
      <c r="DF12" s="491"/>
      <c r="DG12" s="504"/>
      <c r="DH12" s="490"/>
      <c r="DI12" s="492"/>
      <c r="DJ12" s="282"/>
      <c r="DK12" s="508"/>
      <c r="DL12" s="282"/>
      <c r="DM12" s="282"/>
      <c r="DN12" s="509"/>
      <c r="DO12" s="492"/>
      <c r="DP12" s="492"/>
      <c r="DQ12" s="282"/>
      <c r="DR12" s="510"/>
      <c r="DS12" s="282"/>
      <c r="DT12" s="502"/>
      <c r="DU12" s="501"/>
      <c r="DV12" s="490"/>
      <c r="DW12" s="490"/>
      <c r="DX12" s="511">
        <v>254682.60879999999</v>
      </c>
      <c r="DY12" s="512">
        <v>0</v>
      </c>
      <c r="DZ12" s="513">
        <v>261243.2488</v>
      </c>
      <c r="EA12" s="513">
        <v>45591.875325018947</v>
      </c>
      <c r="EB12" s="514">
        <v>0</v>
      </c>
      <c r="EC12" s="514">
        <v>0</v>
      </c>
      <c r="ED12" s="514">
        <v>-5586.1423095781356</v>
      </c>
      <c r="EE12" s="494"/>
      <c r="EF12" s="513">
        <v>301248.98181544081</v>
      </c>
      <c r="EG12" s="513">
        <v>294688.3418154408</v>
      </c>
      <c r="EH12" s="515">
        <v>0</v>
      </c>
      <c r="EI12" s="516">
        <v>0</v>
      </c>
      <c r="EJ12" s="517"/>
      <c r="EL12" s="518"/>
      <c r="EM12" s="518">
        <v>301248.98181544081</v>
      </c>
      <c r="EN12" s="518">
        <v>-301248.98181544081</v>
      </c>
      <c r="EO12" s="519"/>
      <c r="EP12" s="519"/>
      <c r="EQ12" s="519"/>
      <c r="ER12" s="519"/>
      <c r="ES12" s="519"/>
      <c r="ET12" s="519"/>
      <c r="EU12" s="519"/>
      <c r="EV12" s="519"/>
      <c r="EW12" s="519"/>
      <c r="EX12" s="519"/>
      <c r="EY12" s="519"/>
      <c r="EZ12" s="518">
        <v>0</v>
      </c>
      <c r="FB12" s="518">
        <v>301248.98181544081</v>
      </c>
      <c r="FC12" s="518">
        <v>0</v>
      </c>
      <c r="FF12" s="518">
        <v>0</v>
      </c>
    </row>
    <row r="13" spans="1:173" s="488" customFormat="1" x14ac:dyDescent="0.2">
      <c r="A13" s="489" t="s">
        <v>305</v>
      </c>
      <c r="B13" s="489" t="s">
        <v>802</v>
      </c>
      <c r="C13" s="489">
        <v>1017</v>
      </c>
      <c r="D13" s="488" t="s">
        <v>801</v>
      </c>
      <c r="E13" s="490"/>
      <c r="F13" s="490"/>
      <c r="G13" s="490"/>
      <c r="H13" s="490"/>
      <c r="I13" s="490"/>
      <c r="J13" s="490"/>
      <c r="K13" s="490"/>
      <c r="L13" s="490"/>
      <c r="M13" s="490"/>
      <c r="N13" s="490"/>
      <c r="O13" s="490"/>
      <c r="P13" s="490"/>
      <c r="Q13" s="490"/>
      <c r="R13" s="490"/>
      <c r="S13" s="490"/>
      <c r="T13" s="490"/>
      <c r="U13" s="491"/>
      <c r="V13" s="492"/>
      <c r="W13" s="491"/>
      <c r="X13" s="493"/>
      <c r="Y13" s="492"/>
      <c r="Z13" s="491"/>
      <c r="AA13" s="493"/>
      <c r="AB13" s="492"/>
      <c r="AC13" s="492"/>
      <c r="AD13" s="492"/>
      <c r="AE13" s="492"/>
      <c r="AF13" s="492"/>
      <c r="AG13" s="492"/>
      <c r="AH13" s="492"/>
      <c r="AI13" s="494"/>
      <c r="AJ13" s="492"/>
      <c r="AK13" s="492"/>
      <c r="AL13" s="492"/>
      <c r="AM13" s="285"/>
      <c r="AN13" s="492"/>
      <c r="AO13" s="285"/>
      <c r="AP13" s="492"/>
      <c r="AQ13" s="492"/>
      <c r="AR13" s="490"/>
      <c r="AS13" s="490"/>
      <c r="AT13" s="282"/>
      <c r="AU13" s="282"/>
      <c r="AV13" s="495"/>
      <c r="AW13" s="496"/>
      <c r="AX13" s="497"/>
      <c r="AY13" s="285"/>
      <c r="AZ13" s="498"/>
      <c r="BA13" s="499"/>
      <c r="BB13" s="500"/>
      <c r="BC13" s="500"/>
      <c r="BD13" s="496"/>
      <c r="BE13" s="496"/>
      <c r="BF13" s="285"/>
      <c r="BG13" s="285"/>
      <c r="BH13" s="285"/>
      <c r="BI13" s="285"/>
      <c r="BJ13" s="282"/>
      <c r="BK13" s="282"/>
      <c r="BL13" s="501"/>
      <c r="BM13" s="501"/>
      <c r="BN13" s="502"/>
      <c r="BO13" s="491"/>
      <c r="BP13" s="500"/>
      <c r="BQ13" s="282"/>
      <c r="BR13" s="492"/>
      <c r="BS13" s="282"/>
      <c r="BT13" s="492"/>
      <c r="BU13" s="492"/>
      <c r="BV13" s="492"/>
      <c r="BW13" s="282"/>
      <c r="BX13" s="492"/>
      <c r="BY13" s="490"/>
      <c r="BZ13" s="282"/>
      <c r="CA13" s="282"/>
      <c r="CB13" s="490"/>
      <c r="CC13" s="490"/>
      <c r="CD13" s="490"/>
      <c r="CE13" s="282"/>
      <c r="CF13" s="490"/>
      <c r="CG13" s="503"/>
      <c r="CH13" s="493"/>
      <c r="CI13" s="493"/>
      <c r="CJ13" s="492"/>
      <c r="CK13" s="490"/>
      <c r="CL13" s="498"/>
      <c r="CM13" s="498"/>
      <c r="CN13" s="493"/>
      <c r="CO13" s="492"/>
      <c r="CP13" s="490"/>
      <c r="CQ13" s="490"/>
      <c r="CR13" s="490"/>
      <c r="CS13" s="504"/>
      <c r="CT13" s="504"/>
      <c r="CU13" s="504"/>
      <c r="CV13" s="504"/>
      <c r="CW13" s="504"/>
      <c r="CX13" s="504"/>
      <c r="CY13" s="505"/>
      <c r="CZ13" s="492"/>
      <c r="DA13" s="506">
        <v>4287.2700000000004</v>
      </c>
      <c r="DB13" s="507"/>
      <c r="DC13" s="495"/>
      <c r="DD13" s="492"/>
      <c r="DE13" s="490"/>
      <c r="DF13" s="491"/>
      <c r="DG13" s="504"/>
      <c r="DH13" s="490"/>
      <c r="DI13" s="492"/>
      <c r="DJ13" s="282"/>
      <c r="DK13" s="508"/>
      <c r="DL13" s="282"/>
      <c r="DM13" s="282"/>
      <c r="DN13" s="509"/>
      <c r="DO13" s="492"/>
      <c r="DP13" s="492"/>
      <c r="DQ13" s="282"/>
      <c r="DR13" s="510"/>
      <c r="DS13" s="282"/>
      <c r="DT13" s="502"/>
      <c r="DU13" s="501"/>
      <c r="DV13" s="490"/>
      <c r="DW13" s="490"/>
      <c r="DX13" s="511">
        <v>159926.676079592</v>
      </c>
      <c r="DY13" s="512">
        <v>0</v>
      </c>
      <c r="DZ13" s="513">
        <v>164213.94607959199</v>
      </c>
      <c r="EA13" s="513">
        <v>58442.177117062209</v>
      </c>
      <c r="EB13" s="514">
        <v>1001</v>
      </c>
      <c r="EC13" s="514">
        <v>0</v>
      </c>
      <c r="ED13" s="514">
        <v>29373.456776685489</v>
      </c>
      <c r="EE13" s="494"/>
      <c r="EF13" s="513">
        <v>253030.57997333969</v>
      </c>
      <c r="EG13" s="513">
        <v>248743.3099733397</v>
      </c>
      <c r="EH13" s="515">
        <v>0</v>
      </c>
      <c r="EI13" s="516">
        <v>0</v>
      </c>
      <c r="EJ13" s="517"/>
      <c r="EL13" s="518"/>
      <c r="EM13" s="518">
        <v>253030.57997333969</v>
      </c>
      <c r="EN13" s="518">
        <v>-253030.57997333969</v>
      </c>
      <c r="EO13" s="519"/>
      <c r="EP13" s="519"/>
      <c r="EQ13" s="519"/>
      <c r="ER13" s="519"/>
      <c r="ES13" s="519"/>
      <c r="ET13" s="519"/>
      <c r="EU13" s="519"/>
      <c r="EV13" s="519"/>
      <c r="EW13" s="519"/>
      <c r="EX13" s="519"/>
      <c r="EY13" s="519"/>
      <c r="EZ13" s="518">
        <v>0</v>
      </c>
      <c r="FB13" s="518">
        <v>252029.57997333969</v>
      </c>
      <c r="FC13" s="518">
        <v>1001</v>
      </c>
      <c r="FF13" s="518">
        <v>0</v>
      </c>
    </row>
    <row r="14" spans="1:173" s="488" customFormat="1" x14ac:dyDescent="0.2">
      <c r="A14" s="489" t="s">
        <v>306</v>
      </c>
      <c r="B14" s="489" t="s">
        <v>803</v>
      </c>
      <c r="C14" s="489">
        <v>1006</v>
      </c>
      <c r="D14" s="488" t="s">
        <v>801</v>
      </c>
      <c r="E14" s="490"/>
      <c r="F14" s="490"/>
      <c r="G14" s="490"/>
      <c r="H14" s="490"/>
      <c r="I14" s="490"/>
      <c r="J14" s="490"/>
      <c r="K14" s="490"/>
      <c r="L14" s="490"/>
      <c r="M14" s="490"/>
      <c r="N14" s="490"/>
      <c r="O14" s="490"/>
      <c r="P14" s="490"/>
      <c r="Q14" s="490"/>
      <c r="R14" s="490"/>
      <c r="S14" s="490"/>
      <c r="T14" s="490"/>
      <c r="U14" s="491"/>
      <c r="V14" s="492"/>
      <c r="W14" s="491"/>
      <c r="X14" s="493"/>
      <c r="Y14" s="492"/>
      <c r="Z14" s="491"/>
      <c r="AA14" s="493"/>
      <c r="AB14" s="492"/>
      <c r="AC14" s="492"/>
      <c r="AD14" s="492"/>
      <c r="AE14" s="492"/>
      <c r="AF14" s="492"/>
      <c r="AG14" s="492"/>
      <c r="AH14" s="492"/>
      <c r="AI14" s="494"/>
      <c r="AJ14" s="492"/>
      <c r="AK14" s="492"/>
      <c r="AL14" s="492"/>
      <c r="AM14" s="285"/>
      <c r="AN14" s="492"/>
      <c r="AO14" s="285"/>
      <c r="AP14" s="492"/>
      <c r="AQ14" s="492"/>
      <c r="AR14" s="490"/>
      <c r="AS14" s="490"/>
      <c r="AT14" s="282"/>
      <c r="AU14" s="282"/>
      <c r="AV14" s="495"/>
      <c r="AW14" s="496"/>
      <c r="AX14" s="497"/>
      <c r="AY14" s="285"/>
      <c r="AZ14" s="498"/>
      <c r="BA14" s="499"/>
      <c r="BB14" s="500"/>
      <c r="BC14" s="500"/>
      <c r="BD14" s="496"/>
      <c r="BE14" s="496"/>
      <c r="BF14" s="285"/>
      <c r="BG14" s="285"/>
      <c r="BH14" s="285"/>
      <c r="BI14" s="285"/>
      <c r="BJ14" s="282"/>
      <c r="BK14" s="282"/>
      <c r="BL14" s="501"/>
      <c r="BM14" s="501"/>
      <c r="BN14" s="502"/>
      <c r="BO14" s="491"/>
      <c r="BP14" s="500"/>
      <c r="BQ14" s="282"/>
      <c r="BR14" s="492"/>
      <c r="BS14" s="282"/>
      <c r="BT14" s="492"/>
      <c r="BU14" s="492"/>
      <c r="BV14" s="492"/>
      <c r="BW14" s="282"/>
      <c r="BX14" s="492"/>
      <c r="BY14" s="490"/>
      <c r="BZ14" s="282"/>
      <c r="CA14" s="282"/>
      <c r="CB14" s="490"/>
      <c r="CC14" s="490"/>
      <c r="CD14" s="490"/>
      <c r="CE14" s="282"/>
      <c r="CF14" s="490"/>
      <c r="CG14" s="503"/>
      <c r="CH14" s="493"/>
      <c r="CI14" s="493"/>
      <c r="CJ14" s="492"/>
      <c r="CK14" s="490"/>
      <c r="CL14" s="498"/>
      <c r="CM14" s="498"/>
      <c r="CN14" s="493"/>
      <c r="CO14" s="492"/>
      <c r="CP14" s="490"/>
      <c r="CQ14" s="490"/>
      <c r="CR14" s="490"/>
      <c r="CS14" s="504"/>
      <c r="CT14" s="504"/>
      <c r="CU14" s="504"/>
      <c r="CV14" s="504"/>
      <c r="CW14" s="504"/>
      <c r="CX14" s="504"/>
      <c r="CY14" s="505"/>
      <c r="CZ14" s="492"/>
      <c r="DA14" s="506">
        <v>4379.08</v>
      </c>
      <c r="DB14" s="507"/>
      <c r="DC14" s="495"/>
      <c r="DD14" s="492"/>
      <c r="DE14" s="490"/>
      <c r="DF14" s="491"/>
      <c r="DG14" s="504"/>
      <c r="DH14" s="490"/>
      <c r="DI14" s="492"/>
      <c r="DJ14" s="282"/>
      <c r="DK14" s="508"/>
      <c r="DL14" s="282"/>
      <c r="DM14" s="282"/>
      <c r="DN14" s="509"/>
      <c r="DO14" s="492"/>
      <c r="DP14" s="492"/>
      <c r="DQ14" s="282"/>
      <c r="DR14" s="510"/>
      <c r="DS14" s="282"/>
      <c r="DT14" s="502"/>
      <c r="DU14" s="501"/>
      <c r="DV14" s="490"/>
      <c r="DW14" s="490"/>
      <c r="DX14" s="511">
        <v>380310.28513236588</v>
      </c>
      <c r="DY14" s="512">
        <v>0</v>
      </c>
      <c r="DZ14" s="513">
        <v>384689.3651323659</v>
      </c>
      <c r="EA14" s="513">
        <v>36894.824524094758</v>
      </c>
      <c r="EB14" s="514">
        <v>1502</v>
      </c>
      <c r="EC14" s="514">
        <v>0</v>
      </c>
      <c r="ED14" s="514">
        <v>39495.21009628725</v>
      </c>
      <c r="EE14" s="494"/>
      <c r="EF14" s="513">
        <v>462581.39975274791</v>
      </c>
      <c r="EG14" s="513">
        <v>458202.31975274789</v>
      </c>
      <c r="EH14" s="515">
        <v>0</v>
      </c>
      <c r="EI14" s="516">
        <v>0</v>
      </c>
      <c r="EJ14" s="517"/>
      <c r="EL14" s="518"/>
      <c r="EM14" s="518">
        <v>462581.39975274791</v>
      </c>
      <c r="EN14" s="518">
        <v>-462581.39975274791</v>
      </c>
      <c r="EO14" s="519"/>
      <c r="EP14" s="519"/>
      <c r="EQ14" s="519"/>
      <c r="ER14" s="519"/>
      <c r="ES14" s="519"/>
      <c r="ET14" s="519"/>
      <c r="EU14" s="519"/>
      <c r="EV14" s="519"/>
      <c r="EW14" s="519"/>
      <c r="EX14" s="519"/>
      <c r="EY14" s="519"/>
      <c r="EZ14" s="518">
        <v>0</v>
      </c>
      <c r="FB14" s="518">
        <v>461079.39975274791</v>
      </c>
      <c r="FC14" s="518">
        <v>1502</v>
      </c>
      <c r="FF14" s="518">
        <v>0</v>
      </c>
    </row>
    <row r="15" spans="1:173" s="488" customFormat="1" x14ac:dyDescent="0.2">
      <c r="A15" s="489" t="s">
        <v>307</v>
      </c>
      <c r="B15" s="489" t="s">
        <v>804</v>
      </c>
      <c r="C15" s="489">
        <v>1008</v>
      </c>
      <c r="D15" s="488" t="s">
        <v>801</v>
      </c>
      <c r="E15" s="490"/>
      <c r="F15" s="490"/>
      <c r="G15" s="490"/>
      <c r="H15" s="490"/>
      <c r="I15" s="490"/>
      <c r="J15" s="490"/>
      <c r="K15" s="490"/>
      <c r="L15" s="490"/>
      <c r="M15" s="490"/>
      <c r="N15" s="490"/>
      <c r="O15" s="490"/>
      <c r="P15" s="490"/>
      <c r="Q15" s="490"/>
      <c r="R15" s="490"/>
      <c r="S15" s="490"/>
      <c r="T15" s="490"/>
      <c r="U15" s="491"/>
      <c r="V15" s="492"/>
      <c r="W15" s="491"/>
      <c r="X15" s="493"/>
      <c r="Y15" s="492"/>
      <c r="Z15" s="491"/>
      <c r="AA15" s="493"/>
      <c r="AB15" s="492"/>
      <c r="AC15" s="492"/>
      <c r="AD15" s="492"/>
      <c r="AE15" s="492"/>
      <c r="AF15" s="492"/>
      <c r="AG15" s="492"/>
      <c r="AH15" s="492"/>
      <c r="AI15" s="494"/>
      <c r="AJ15" s="492"/>
      <c r="AK15" s="492"/>
      <c r="AL15" s="492"/>
      <c r="AM15" s="285"/>
      <c r="AN15" s="492"/>
      <c r="AO15" s="285"/>
      <c r="AP15" s="492"/>
      <c r="AQ15" s="492"/>
      <c r="AR15" s="490"/>
      <c r="AS15" s="490"/>
      <c r="AT15" s="282"/>
      <c r="AU15" s="282"/>
      <c r="AV15" s="495"/>
      <c r="AW15" s="496"/>
      <c r="AX15" s="497"/>
      <c r="AY15" s="285"/>
      <c r="AZ15" s="498"/>
      <c r="BA15" s="499"/>
      <c r="BB15" s="500"/>
      <c r="BC15" s="500"/>
      <c r="BD15" s="496"/>
      <c r="BE15" s="496"/>
      <c r="BF15" s="285"/>
      <c r="BG15" s="285"/>
      <c r="BH15" s="285"/>
      <c r="BI15" s="285"/>
      <c r="BJ15" s="282"/>
      <c r="BK15" s="282"/>
      <c r="BL15" s="501"/>
      <c r="BM15" s="501"/>
      <c r="BN15" s="502"/>
      <c r="BO15" s="491"/>
      <c r="BP15" s="500"/>
      <c r="BQ15" s="282"/>
      <c r="BR15" s="492"/>
      <c r="BS15" s="282"/>
      <c r="BT15" s="492"/>
      <c r="BU15" s="492"/>
      <c r="BV15" s="492"/>
      <c r="BW15" s="282"/>
      <c r="BX15" s="492"/>
      <c r="BY15" s="490"/>
      <c r="BZ15" s="282"/>
      <c r="CA15" s="282"/>
      <c r="CB15" s="490"/>
      <c r="CC15" s="490"/>
      <c r="CD15" s="490"/>
      <c r="CE15" s="282"/>
      <c r="CF15" s="490"/>
      <c r="CG15" s="503"/>
      <c r="CH15" s="493"/>
      <c r="CI15" s="493"/>
      <c r="CJ15" s="492"/>
      <c r="CK15" s="490"/>
      <c r="CL15" s="498"/>
      <c r="CM15" s="498"/>
      <c r="CN15" s="493"/>
      <c r="CO15" s="492"/>
      <c r="CP15" s="490"/>
      <c r="CQ15" s="490"/>
      <c r="CR15" s="490"/>
      <c r="CS15" s="504"/>
      <c r="CT15" s="504"/>
      <c r="CU15" s="504"/>
      <c r="CV15" s="504"/>
      <c r="CW15" s="504"/>
      <c r="CX15" s="504"/>
      <c r="CY15" s="505"/>
      <c r="CZ15" s="492"/>
      <c r="DA15" s="506">
        <v>1692.76</v>
      </c>
      <c r="DB15" s="507"/>
      <c r="DC15" s="495"/>
      <c r="DD15" s="492"/>
      <c r="DE15" s="490"/>
      <c r="DF15" s="491"/>
      <c r="DG15" s="504"/>
      <c r="DH15" s="490"/>
      <c r="DI15" s="492"/>
      <c r="DJ15" s="282"/>
      <c r="DK15" s="508"/>
      <c r="DL15" s="282"/>
      <c r="DM15" s="282"/>
      <c r="DN15" s="509"/>
      <c r="DO15" s="492"/>
      <c r="DP15" s="492"/>
      <c r="DQ15" s="282"/>
      <c r="DR15" s="510"/>
      <c r="DS15" s="282"/>
      <c r="DT15" s="502"/>
      <c r="DU15" s="501"/>
      <c r="DV15" s="490"/>
      <c r="DW15" s="490"/>
      <c r="DX15" s="511">
        <v>386095.37152041099</v>
      </c>
      <c r="DY15" s="512">
        <v>0</v>
      </c>
      <c r="DZ15" s="513">
        <v>387788.131520411</v>
      </c>
      <c r="EA15" s="513">
        <v>4282.864690168004</v>
      </c>
      <c r="EB15" s="514">
        <v>16143</v>
      </c>
      <c r="EC15" s="514">
        <v>0</v>
      </c>
      <c r="ED15" s="514">
        <v>-8.623310754832346</v>
      </c>
      <c r="EE15" s="494"/>
      <c r="EF15" s="513">
        <v>408205.37289982417</v>
      </c>
      <c r="EG15" s="513">
        <v>406512.61289982416</v>
      </c>
      <c r="EH15" s="515">
        <v>0</v>
      </c>
      <c r="EI15" s="516">
        <v>0</v>
      </c>
      <c r="EJ15" s="517"/>
      <c r="EL15" s="518"/>
      <c r="EM15" s="518">
        <v>408205.37289982417</v>
      </c>
      <c r="EN15" s="518">
        <v>-408205.37289982417</v>
      </c>
      <c r="EO15" s="519"/>
      <c r="EP15" s="519"/>
      <c r="EQ15" s="519"/>
      <c r="ER15" s="519"/>
      <c r="ES15" s="519"/>
      <c r="ET15" s="519"/>
      <c r="EU15" s="519"/>
      <c r="EV15" s="519"/>
      <c r="EW15" s="519"/>
      <c r="EX15" s="519"/>
      <c r="EY15" s="519"/>
      <c r="EZ15" s="518">
        <v>0</v>
      </c>
      <c r="FB15" s="518">
        <v>392062.37289982417</v>
      </c>
      <c r="FC15" s="518">
        <v>16143</v>
      </c>
      <c r="FF15" s="518">
        <v>0</v>
      </c>
    </row>
    <row r="16" spans="1:173" s="488" customFormat="1" x14ac:dyDescent="0.2">
      <c r="A16" s="489" t="s">
        <v>308</v>
      </c>
      <c r="B16" s="489" t="s">
        <v>805</v>
      </c>
      <c r="C16" s="489">
        <v>1005</v>
      </c>
      <c r="D16" s="488" t="s">
        <v>801</v>
      </c>
      <c r="E16" s="490"/>
      <c r="F16" s="490"/>
      <c r="G16" s="490"/>
      <c r="H16" s="490"/>
      <c r="I16" s="490"/>
      <c r="J16" s="490"/>
      <c r="K16" s="490"/>
      <c r="L16" s="490"/>
      <c r="M16" s="490"/>
      <c r="N16" s="490"/>
      <c r="O16" s="490"/>
      <c r="P16" s="490"/>
      <c r="Q16" s="490"/>
      <c r="R16" s="490"/>
      <c r="S16" s="490"/>
      <c r="T16" s="490"/>
      <c r="U16" s="491"/>
      <c r="V16" s="492"/>
      <c r="W16" s="491"/>
      <c r="X16" s="493"/>
      <c r="Y16" s="492"/>
      <c r="Z16" s="491"/>
      <c r="AA16" s="493"/>
      <c r="AB16" s="492"/>
      <c r="AC16" s="492"/>
      <c r="AD16" s="492"/>
      <c r="AE16" s="492"/>
      <c r="AF16" s="492"/>
      <c r="AG16" s="492"/>
      <c r="AH16" s="492"/>
      <c r="AI16" s="494"/>
      <c r="AJ16" s="492"/>
      <c r="AK16" s="492"/>
      <c r="AL16" s="492"/>
      <c r="AM16" s="285"/>
      <c r="AN16" s="492"/>
      <c r="AO16" s="285"/>
      <c r="AP16" s="492"/>
      <c r="AQ16" s="492"/>
      <c r="AR16" s="490"/>
      <c r="AS16" s="490"/>
      <c r="AT16" s="282"/>
      <c r="AU16" s="282"/>
      <c r="AV16" s="495"/>
      <c r="AW16" s="496"/>
      <c r="AX16" s="497"/>
      <c r="AY16" s="285"/>
      <c r="AZ16" s="498"/>
      <c r="BA16" s="499"/>
      <c r="BB16" s="500"/>
      <c r="BC16" s="500"/>
      <c r="BD16" s="496"/>
      <c r="BE16" s="496"/>
      <c r="BF16" s="285"/>
      <c r="BG16" s="285"/>
      <c r="BH16" s="285"/>
      <c r="BI16" s="285"/>
      <c r="BJ16" s="282"/>
      <c r="BK16" s="282"/>
      <c r="BL16" s="501"/>
      <c r="BM16" s="501"/>
      <c r="BN16" s="502"/>
      <c r="BO16" s="491"/>
      <c r="BP16" s="500"/>
      <c r="BQ16" s="282"/>
      <c r="BR16" s="492"/>
      <c r="BS16" s="282"/>
      <c r="BT16" s="492"/>
      <c r="BU16" s="492"/>
      <c r="BV16" s="492"/>
      <c r="BW16" s="282"/>
      <c r="BX16" s="492"/>
      <c r="BY16" s="490"/>
      <c r="BZ16" s="282"/>
      <c r="CA16" s="282"/>
      <c r="CB16" s="490"/>
      <c r="CC16" s="490"/>
      <c r="CD16" s="490"/>
      <c r="CE16" s="282"/>
      <c r="CF16" s="490"/>
      <c r="CG16" s="503"/>
      <c r="CH16" s="493"/>
      <c r="CI16" s="493"/>
      <c r="CJ16" s="492"/>
      <c r="CK16" s="490"/>
      <c r="CL16" s="498"/>
      <c r="CM16" s="498"/>
      <c r="CN16" s="493"/>
      <c r="CO16" s="492"/>
      <c r="CP16" s="490"/>
      <c r="CQ16" s="490"/>
      <c r="CR16" s="490"/>
      <c r="CS16" s="504"/>
      <c r="CT16" s="504"/>
      <c r="CU16" s="504"/>
      <c r="CV16" s="504"/>
      <c r="CW16" s="504"/>
      <c r="CX16" s="504"/>
      <c r="CY16" s="505"/>
      <c r="CZ16" s="492"/>
      <c r="DA16" s="506">
        <v>7959.48</v>
      </c>
      <c r="DB16" s="507"/>
      <c r="DC16" s="495"/>
      <c r="DD16" s="492"/>
      <c r="DE16" s="490"/>
      <c r="DF16" s="491"/>
      <c r="DG16" s="504"/>
      <c r="DH16" s="490"/>
      <c r="DI16" s="492"/>
      <c r="DJ16" s="282"/>
      <c r="DK16" s="508"/>
      <c r="DL16" s="282"/>
      <c r="DM16" s="282"/>
      <c r="DN16" s="509"/>
      <c r="DO16" s="492"/>
      <c r="DP16" s="492"/>
      <c r="DQ16" s="282"/>
      <c r="DR16" s="510"/>
      <c r="DS16" s="282"/>
      <c r="DT16" s="502"/>
      <c r="DU16" s="501"/>
      <c r="DV16" s="490"/>
      <c r="DW16" s="490"/>
      <c r="DX16" s="511">
        <v>496960.26649358985</v>
      </c>
      <c r="DY16" s="512">
        <v>0</v>
      </c>
      <c r="DZ16" s="513">
        <v>504919.74649358983</v>
      </c>
      <c r="EA16" s="513">
        <v>0</v>
      </c>
      <c r="EB16" s="514">
        <v>0</v>
      </c>
      <c r="EC16" s="514">
        <v>0</v>
      </c>
      <c r="ED16" s="514">
        <v>3753.5553359434125</v>
      </c>
      <c r="EE16" s="494"/>
      <c r="EF16" s="513">
        <v>508673.30182953324</v>
      </c>
      <c r="EG16" s="513">
        <v>500713.82182953326</v>
      </c>
      <c r="EH16" s="515">
        <v>0</v>
      </c>
      <c r="EI16" s="516">
        <v>0</v>
      </c>
      <c r="EJ16" s="517"/>
      <c r="EL16" s="518"/>
      <c r="EM16" s="518">
        <v>508673.30182953324</v>
      </c>
      <c r="EN16" s="518">
        <v>-508673.30182953324</v>
      </c>
      <c r="EO16" s="519"/>
      <c r="EP16" s="519"/>
      <c r="EQ16" s="519"/>
      <c r="ER16" s="519"/>
      <c r="ES16" s="519"/>
      <c r="ET16" s="519"/>
      <c r="EU16" s="519"/>
      <c r="EV16" s="519"/>
      <c r="EW16" s="519"/>
      <c r="EX16" s="519"/>
      <c r="EY16" s="519"/>
      <c r="EZ16" s="518">
        <v>0</v>
      </c>
      <c r="FB16" s="518">
        <v>508673.30182953324</v>
      </c>
      <c r="FC16" s="518">
        <v>0</v>
      </c>
      <c r="FF16" s="518">
        <v>0</v>
      </c>
    </row>
    <row r="17" spans="1:169" s="488" customFormat="1" x14ac:dyDescent="0.2">
      <c r="A17" s="489" t="s">
        <v>309</v>
      </c>
      <c r="B17" s="489" t="s">
        <v>806</v>
      </c>
      <c r="C17" s="489">
        <v>1010</v>
      </c>
      <c r="D17" s="488" t="s">
        <v>801</v>
      </c>
      <c r="E17" s="490"/>
      <c r="F17" s="490"/>
      <c r="G17" s="490"/>
      <c r="H17" s="490"/>
      <c r="I17" s="490"/>
      <c r="J17" s="490"/>
      <c r="K17" s="490"/>
      <c r="L17" s="490"/>
      <c r="M17" s="490"/>
      <c r="N17" s="490"/>
      <c r="O17" s="490"/>
      <c r="P17" s="490"/>
      <c r="Q17" s="490"/>
      <c r="R17" s="490"/>
      <c r="S17" s="490"/>
      <c r="T17" s="490"/>
      <c r="U17" s="491"/>
      <c r="V17" s="492"/>
      <c r="W17" s="491"/>
      <c r="X17" s="493"/>
      <c r="Y17" s="492"/>
      <c r="Z17" s="491"/>
      <c r="AA17" s="493"/>
      <c r="AB17" s="492"/>
      <c r="AC17" s="492"/>
      <c r="AD17" s="492"/>
      <c r="AE17" s="492"/>
      <c r="AF17" s="492"/>
      <c r="AG17" s="492"/>
      <c r="AH17" s="492"/>
      <c r="AI17" s="494"/>
      <c r="AJ17" s="492"/>
      <c r="AK17" s="492"/>
      <c r="AL17" s="492"/>
      <c r="AM17" s="285"/>
      <c r="AN17" s="492"/>
      <c r="AO17" s="285"/>
      <c r="AP17" s="492"/>
      <c r="AQ17" s="492"/>
      <c r="AR17" s="490"/>
      <c r="AS17" s="490"/>
      <c r="AT17" s="282"/>
      <c r="AU17" s="282"/>
      <c r="AV17" s="495"/>
      <c r="AW17" s="496"/>
      <c r="AX17" s="497"/>
      <c r="AY17" s="285"/>
      <c r="AZ17" s="498"/>
      <c r="BA17" s="499"/>
      <c r="BB17" s="500"/>
      <c r="BC17" s="500"/>
      <c r="BD17" s="496"/>
      <c r="BE17" s="496"/>
      <c r="BF17" s="285"/>
      <c r="BG17" s="285"/>
      <c r="BH17" s="285"/>
      <c r="BI17" s="285"/>
      <c r="BJ17" s="282"/>
      <c r="BK17" s="282"/>
      <c r="BL17" s="501"/>
      <c r="BM17" s="501"/>
      <c r="BN17" s="502"/>
      <c r="BO17" s="491"/>
      <c r="BP17" s="500"/>
      <c r="BQ17" s="282"/>
      <c r="BR17" s="492"/>
      <c r="BS17" s="282"/>
      <c r="BT17" s="492"/>
      <c r="BU17" s="492"/>
      <c r="BV17" s="492"/>
      <c r="BW17" s="282"/>
      <c r="BX17" s="492"/>
      <c r="BY17" s="490"/>
      <c r="BZ17" s="282"/>
      <c r="CA17" s="282"/>
      <c r="CB17" s="490"/>
      <c r="CC17" s="490"/>
      <c r="CD17" s="490"/>
      <c r="CE17" s="282"/>
      <c r="CF17" s="490"/>
      <c r="CG17" s="503"/>
      <c r="CH17" s="493"/>
      <c r="CI17" s="493"/>
      <c r="CJ17" s="492"/>
      <c r="CK17" s="490"/>
      <c r="CL17" s="498"/>
      <c r="CM17" s="498"/>
      <c r="CN17" s="493"/>
      <c r="CO17" s="492"/>
      <c r="CP17" s="490"/>
      <c r="CQ17" s="490"/>
      <c r="CR17" s="490"/>
      <c r="CS17" s="504"/>
      <c r="CT17" s="504"/>
      <c r="CU17" s="504"/>
      <c r="CV17" s="504"/>
      <c r="CW17" s="504"/>
      <c r="CX17" s="504"/>
      <c r="CY17" s="505"/>
      <c r="CZ17" s="492"/>
      <c r="DA17" s="506">
        <v>1725.32</v>
      </c>
      <c r="DB17" s="507"/>
      <c r="DC17" s="495"/>
      <c r="DD17" s="492"/>
      <c r="DE17" s="490"/>
      <c r="DF17" s="491"/>
      <c r="DG17" s="504"/>
      <c r="DH17" s="490"/>
      <c r="DI17" s="492"/>
      <c r="DJ17" s="282"/>
      <c r="DK17" s="508"/>
      <c r="DL17" s="282"/>
      <c r="DM17" s="282"/>
      <c r="DN17" s="509"/>
      <c r="DO17" s="492"/>
      <c r="DP17" s="492"/>
      <c r="DQ17" s="282"/>
      <c r="DR17" s="510"/>
      <c r="DS17" s="282"/>
      <c r="DT17" s="502"/>
      <c r="DU17" s="501"/>
      <c r="DV17" s="490"/>
      <c r="DW17" s="490"/>
      <c r="DX17" s="511">
        <v>312958.60774081753</v>
      </c>
      <c r="DY17" s="512">
        <v>0</v>
      </c>
      <c r="DZ17" s="513">
        <v>314683.92774081754</v>
      </c>
      <c r="EA17" s="513">
        <v>94616.697208817641</v>
      </c>
      <c r="EB17" s="514">
        <v>0</v>
      </c>
      <c r="EC17" s="514">
        <v>0</v>
      </c>
      <c r="ED17" s="514">
        <v>-23045.603770437243</v>
      </c>
      <c r="EE17" s="494"/>
      <c r="EF17" s="513">
        <v>386255.02117919794</v>
      </c>
      <c r="EG17" s="513">
        <v>384529.70117919793</v>
      </c>
      <c r="EH17" s="515">
        <v>0</v>
      </c>
      <c r="EI17" s="516">
        <v>0</v>
      </c>
      <c r="EJ17" s="517"/>
      <c r="EL17" s="518"/>
      <c r="EM17" s="518">
        <v>386255.02117919794</v>
      </c>
      <c r="EN17" s="518">
        <v>-386255.02117919794</v>
      </c>
      <c r="EO17" s="519"/>
      <c r="EP17" s="519"/>
      <c r="EQ17" s="519"/>
      <c r="ER17" s="519"/>
      <c r="ES17" s="519"/>
      <c r="ET17" s="519"/>
      <c r="EU17" s="519"/>
      <c r="EV17" s="519"/>
      <c r="EW17" s="519"/>
      <c r="EX17" s="519"/>
      <c r="EY17" s="519"/>
      <c r="EZ17" s="518">
        <v>0</v>
      </c>
      <c r="FB17" s="518">
        <v>386255.02117919794</v>
      </c>
      <c r="FC17" s="518">
        <v>0</v>
      </c>
      <c r="FF17" s="518">
        <v>0</v>
      </c>
    </row>
    <row r="18" spans="1:169" s="488" customFormat="1" x14ac:dyDescent="0.2">
      <c r="A18" s="489" t="s">
        <v>310</v>
      </c>
      <c r="B18" s="489" t="s">
        <v>807</v>
      </c>
      <c r="C18" s="489">
        <v>1009</v>
      </c>
      <c r="D18" s="488" t="s">
        <v>801</v>
      </c>
      <c r="E18" s="490"/>
      <c r="F18" s="490"/>
      <c r="G18" s="490"/>
      <c r="H18" s="490"/>
      <c r="I18" s="490"/>
      <c r="J18" s="490"/>
      <c r="K18" s="490"/>
      <c r="L18" s="490"/>
      <c r="M18" s="490"/>
      <c r="N18" s="490"/>
      <c r="O18" s="490"/>
      <c r="P18" s="490"/>
      <c r="Q18" s="490"/>
      <c r="R18" s="490"/>
      <c r="S18" s="490"/>
      <c r="T18" s="490"/>
      <c r="U18" s="491"/>
      <c r="V18" s="492"/>
      <c r="W18" s="491"/>
      <c r="X18" s="493"/>
      <c r="Y18" s="492"/>
      <c r="Z18" s="491"/>
      <c r="AA18" s="493"/>
      <c r="AB18" s="492"/>
      <c r="AC18" s="492"/>
      <c r="AD18" s="492"/>
      <c r="AE18" s="492"/>
      <c r="AF18" s="492"/>
      <c r="AG18" s="492"/>
      <c r="AH18" s="492"/>
      <c r="AI18" s="494"/>
      <c r="AJ18" s="492"/>
      <c r="AK18" s="492"/>
      <c r="AL18" s="492"/>
      <c r="AM18" s="285"/>
      <c r="AN18" s="492"/>
      <c r="AO18" s="285"/>
      <c r="AP18" s="492"/>
      <c r="AQ18" s="492"/>
      <c r="AR18" s="490"/>
      <c r="AS18" s="490"/>
      <c r="AT18" s="282"/>
      <c r="AU18" s="282"/>
      <c r="AV18" s="495"/>
      <c r="AW18" s="496"/>
      <c r="AX18" s="497"/>
      <c r="AY18" s="285"/>
      <c r="AZ18" s="498"/>
      <c r="BA18" s="499"/>
      <c r="BB18" s="500"/>
      <c r="BC18" s="500"/>
      <c r="BD18" s="496"/>
      <c r="BE18" s="496"/>
      <c r="BF18" s="285"/>
      <c r="BG18" s="285"/>
      <c r="BH18" s="285"/>
      <c r="BI18" s="285"/>
      <c r="BJ18" s="282"/>
      <c r="BK18" s="282"/>
      <c r="BL18" s="501"/>
      <c r="BM18" s="501"/>
      <c r="BN18" s="502"/>
      <c r="BO18" s="491"/>
      <c r="BP18" s="500"/>
      <c r="BQ18" s="282"/>
      <c r="BR18" s="492"/>
      <c r="BS18" s="282"/>
      <c r="BT18" s="492"/>
      <c r="BU18" s="492"/>
      <c r="BV18" s="492"/>
      <c r="BW18" s="282"/>
      <c r="BX18" s="492"/>
      <c r="BY18" s="490"/>
      <c r="BZ18" s="282"/>
      <c r="CA18" s="282"/>
      <c r="CB18" s="490"/>
      <c r="CC18" s="490"/>
      <c r="CD18" s="490"/>
      <c r="CE18" s="282"/>
      <c r="CF18" s="490"/>
      <c r="CG18" s="503"/>
      <c r="CH18" s="493"/>
      <c r="CI18" s="493"/>
      <c r="CJ18" s="492"/>
      <c r="CK18" s="490"/>
      <c r="CL18" s="498"/>
      <c r="CM18" s="498"/>
      <c r="CN18" s="493"/>
      <c r="CO18" s="492"/>
      <c r="CP18" s="490"/>
      <c r="CQ18" s="490"/>
      <c r="CR18" s="490"/>
      <c r="CS18" s="504"/>
      <c r="CT18" s="504"/>
      <c r="CU18" s="504"/>
      <c r="CV18" s="504"/>
      <c r="CW18" s="504"/>
      <c r="CX18" s="504"/>
      <c r="CY18" s="505"/>
      <c r="CZ18" s="492"/>
      <c r="DA18" s="506">
        <v>3320.41</v>
      </c>
      <c r="DB18" s="507"/>
      <c r="DC18" s="495"/>
      <c r="DD18" s="520"/>
      <c r="DE18" s="521"/>
      <c r="DF18" s="522"/>
      <c r="DG18" s="520"/>
      <c r="DH18" s="521"/>
      <c r="DI18" s="523"/>
      <c r="DJ18" s="490"/>
      <c r="DK18" s="508"/>
      <c r="DL18" s="282"/>
      <c r="DM18" s="282"/>
      <c r="DN18" s="509"/>
      <c r="DO18" s="492"/>
      <c r="DP18" s="492"/>
      <c r="DQ18" s="282"/>
      <c r="DR18" s="510"/>
      <c r="DS18" s="282"/>
      <c r="DT18" s="502"/>
      <c r="DU18" s="501"/>
      <c r="DV18" s="490"/>
      <c r="DW18" s="490"/>
      <c r="DX18" s="511">
        <v>366859.43354081758</v>
      </c>
      <c r="DY18" s="512">
        <v>8840.6951250000002</v>
      </c>
      <c r="DZ18" s="513">
        <v>379020.53866581758</v>
      </c>
      <c r="EA18" s="513">
        <v>1540.2654465621454</v>
      </c>
      <c r="EB18" s="514">
        <v>0</v>
      </c>
      <c r="EC18" s="514">
        <v>0</v>
      </c>
      <c r="ED18" s="514">
        <v>-3298.4292772845947</v>
      </c>
      <c r="EE18" s="494"/>
      <c r="EF18" s="513">
        <v>377262.37483509514</v>
      </c>
      <c r="EG18" s="513">
        <v>373941.96483509516</v>
      </c>
      <c r="EH18" s="515">
        <v>0</v>
      </c>
      <c r="EI18" s="516">
        <v>0</v>
      </c>
      <c r="EJ18" s="517"/>
      <c r="EL18" s="518"/>
      <c r="EM18" s="518">
        <v>377262.37483509514</v>
      </c>
      <c r="EN18" s="518">
        <v>-377262.37483509514</v>
      </c>
      <c r="EO18" s="519"/>
      <c r="EP18" s="519"/>
      <c r="EQ18" s="519"/>
      <c r="ER18" s="519"/>
      <c r="ES18" s="519"/>
      <c r="ET18" s="519"/>
      <c r="EU18" s="519"/>
      <c r="EV18" s="519"/>
      <c r="EW18" s="519"/>
      <c r="EX18" s="519"/>
      <c r="EY18" s="519"/>
      <c r="EZ18" s="518">
        <v>0</v>
      </c>
      <c r="FB18" s="518">
        <v>377262.37483509514</v>
      </c>
      <c r="FC18" s="518">
        <v>0</v>
      </c>
      <c r="FF18" s="518">
        <v>0</v>
      </c>
    </row>
    <row r="19" spans="1:169" s="488" customFormat="1" x14ac:dyDescent="0.2">
      <c r="A19" s="489" t="s">
        <v>311</v>
      </c>
      <c r="B19" s="489" t="s">
        <v>808</v>
      </c>
      <c r="C19" s="489">
        <v>1015</v>
      </c>
      <c r="D19" s="488" t="s">
        <v>801</v>
      </c>
      <c r="E19" s="490"/>
      <c r="F19" s="490"/>
      <c r="G19" s="490"/>
      <c r="H19" s="490"/>
      <c r="I19" s="490"/>
      <c r="J19" s="490"/>
      <c r="K19" s="490"/>
      <c r="L19" s="490"/>
      <c r="M19" s="490"/>
      <c r="N19" s="490"/>
      <c r="O19" s="490"/>
      <c r="P19" s="490"/>
      <c r="Q19" s="490"/>
      <c r="R19" s="490"/>
      <c r="S19" s="490"/>
      <c r="T19" s="490"/>
      <c r="U19" s="491"/>
      <c r="V19" s="492"/>
      <c r="W19" s="491"/>
      <c r="X19" s="493"/>
      <c r="Y19" s="492"/>
      <c r="Z19" s="491"/>
      <c r="AA19" s="493"/>
      <c r="AB19" s="492"/>
      <c r="AC19" s="492"/>
      <c r="AD19" s="492"/>
      <c r="AE19" s="492"/>
      <c r="AF19" s="492"/>
      <c r="AG19" s="492"/>
      <c r="AH19" s="492"/>
      <c r="AI19" s="494"/>
      <c r="AJ19" s="492"/>
      <c r="AK19" s="492"/>
      <c r="AL19" s="492"/>
      <c r="AM19" s="285"/>
      <c r="AN19" s="492"/>
      <c r="AO19" s="285"/>
      <c r="AP19" s="492"/>
      <c r="AQ19" s="492"/>
      <c r="AR19" s="490"/>
      <c r="AS19" s="490"/>
      <c r="AT19" s="282"/>
      <c r="AU19" s="282"/>
      <c r="AV19" s="495"/>
      <c r="AW19" s="496"/>
      <c r="AX19" s="497"/>
      <c r="AY19" s="285"/>
      <c r="AZ19" s="498"/>
      <c r="BA19" s="499"/>
      <c r="BB19" s="500"/>
      <c r="BC19" s="500"/>
      <c r="BD19" s="496"/>
      <c r="BE19" s="496"/>
      <c r="BF19" s="285"/>
      <c r="BG19" s="285"/>
      <c r="BH19" s="285"/>
      <c r="BI19" s="285"/>
      <c r="BJ19" s="282"/>
      <c r="BK19" s="282"/>
      <c r="BL19" s="501"/>
      <c r="BM19" s="501"/>
      <c r="BN19" s="502"/>
      <c r="BO19" s="491"/>
      <c r="BP19" s="500"/>
      <c r="BQ19" s="282"/>
      <c r="BR19" s="492"/>
      <c r="BS19" s="282"/>
      <c r="BT19" s="492"/>
      <c r="BU19" s="492"/>
      <c r="BV19" s="492"/>
      <c r="BW19" s="282"/>
      <c r="BX19" s="492"/>
      <c r="BY19" s="490"/>
      <c r="BZ19" s="282"/>
      <c r="CA19" s="282"/>
      <c r="CB19" s="490"/>
      <c r="CC19" s="490"/>
      <c r="CD19" s="490"/>
      <c r="CE19" s="282"/>
      <c r="CF19" s="490"/>
      <c r="CG19" s="503"/>
      <c r="CH19" s="493"/>
      <c r="CI19" s="493"/>
      <c r="CJ19" s="492"/>
      <c r="CK19" s="490"/>
      <c r="CL19" s="498"/>
      <c r="CM19" s="498"/>
      <c r="CN19" s="493"/>
      <c r="CO19" s="492"/>
      <c r="CP19" s="490"/>
      <c r="CQ19" s="490"/>
      <c r="CR19" s="490"/>
      <c r="CS19" s="504"/>
      <c r="CT19" s="504"/>
      <c r="CU19" s="504"/>
      <c r="CV19" s="504"/>
      <c r="CW19" s="504"/>
      <c r="CX19" s="504"/>
      <c r="CY19" s="505"/>
      <c r="CZ19" s="492"/>
      <c r="DA19" s="506">
        <v>2148.5100000000002</v>
      </c>
      <c r="DB19" s="507"/>
      <c r="DC19" s="495"/>
      <c r="DD19" s="492"/>
      <c r="DE19" s="490"/>
      <c r="DF19" s="491"/>
      <c r="DG19" s="504"/>
      <c r="DH19" s="490"/>
      <c r="DI19" s="492"/>
      <c r="DJ19" s="282"/>
      <c r="DK19" s="508"/>
      <c r="DL19" s="282"/>
      <c r="DM19" s="282"/>
      <c r="DN19" s="509"/>
      <c r="DO19" s="492"/>
      <c r="DP19" s="492"/>
      <c r="DQ19" s="282"/>
      <c r="DR19" s="510"/>
      <c r="DS19" s="282"/>
      <c r="DT19" s="502"/>
      <c r="DU19" s="501"/>
      <c r="DV19" s="490"/>
      <c r="DW19" s="490"/>
      <c r="DX19" s="511">
        <v>339151.23470775795</v>
      </c>
      <c r="DY19" s="512">
        <v>0</v>
      </c>
      <c r="DZ19" s="513">
        <v>341299.74470775796</v>
      </c>
      <c r="EA19" s="513">
        <v>0</v>
      </c>
      <c r="EB19" s="514">
        <v>0</v>
      </c>
      <c r="EC19" s="514">
        <v>0</v>
      </c>
      <c r="ED19" s="514">
        <v>20232.521069210634</v>
      </c>
      <c r="EE19" s="494"/>
      <c r="EF19" s="513">
        <v>361532.26577696856</v>
      </c>
      <c r="EG19" s="513">
        <v>359383.75577696855</v>
      </c>
      <c r="EH19" s="515">
        <v>0</v>
      </c>
      <c r="EI19" s="516">
        <v>0</v>
      </c>
      <c r="EJ19" s="517"/>
      <c r="EL19" s="518"/>
      <c r="EM19" s="518">
        <v>361532.26577696856</v>
      </c>
      <c r="EN19" s="518">
        <v>-361532.26577696856</v>
      </c>
      <c r="EO19" s="519"/>
      <c r="EP19" s="519"/>
      <c r="EQ19" s="519"/>
      <c r="ER19" s="519"/>
      <c r="ES19" s="519"/>
      <c r="ET19" s="519"/>
      <c r="EU19" s="519"/>
      <c r="EV19" s="519"/>
      <c r="EW19" s="519"/>
      <c r="EX19" s="519"/>
      <c r="EY19" s="519"/>
      <c r="EZ19" s="518">
        <v>0</v>
      </c>
      <c r="FB19" s="518">
        <v>361532.26577696856</v>
      </c>
      <c r="FC19" s="518">
        <v>0</v>
      </c>
      <c r="FF19" s="518">
        <v>0</v>
      </c>
    </row>
    <row r="20" spans="1:169" s="282" customFormat="1" ht="14.25" x14ac:dyDescent="0.2">
      <c r="E20" s="288"/>
      <c r="F20" s="288"/>
      <c r="G20" s="468"/>
      <c r="H20" s="288"/>
      <c r="I20" s="288"/>
      <c r="J20" s="288"/>
      <c r="K20" s="288"/>
      <c r="L20" s="288"/>
      <c r="M20" s="288"/>
      <c r="N20" s="469"/>
      <c r="O20" s="469"/>
      <c r="P20" s="470"/>
      <c r="Q20" s="469"/>
      <c r="R20" s="469"/>
      <c r="S20" s="470"/>
      <c r="T20" s="490"/>
      <c r="U20" s="469"/>
      <c r="V20" s="470"/>
      <c r="W20" s="491"/>
      <c r="X20" s="470"/>
      <c r="Y20" s="470"/>
      <c r="Z20" s="469"/>
      <c r="AA20" s="470"/>
      <c r="AB20" s="492"/>
      <c r="AC20" s="471"/>
      <c r="AD20" s="471"/>
      <c r="AE20" s="471"/>
      <c r="AF20" s="471"/>
      <c r="AG20" s="471"/>
      <c r="AH20" s="471"/>
      <c r="AI20" s="283"/>
      <c r="AJ20" s="483"/>
      <c r="AK20" s="471"/>
      <c r="AL20" s="471"/>
      <c r="AM20" s="285"/>
      <c r="AN20" s="471"/>
      <c r="AO20" s="285"/>
      <c r="AP20" s="471"/>
      <c r="AR20" s="473"/>
      <c r="AV20" s="474"/>
      <c r="AW20" s="474"/>
      <c r="AX20" s="476"/>
      <c r="AY20" s="476"/>
      <c r="BA20" s="478"/>
      <c r="BB20" s="479"/>
      <c r="BC20" s="479"/>
      <c r="BE20" s="474"/>
      <c r="BL20" s="501"/>
      <c r="BM20" s="501"/>
      <c r="BN20" s="481"/>
      <c r="BO20" s="479"/>
      <c r="BP20" s="479"/>
      <c r="BR20" s="471"/>
      <c r="BT20" s="471"/>
      <c r="BU20" s="471"/>
      <c r="BV20" s="471"/>
      <c r="BX20" s="471"/>
      <c r="CB20" s="482"/>
      <c r="CC20" s="482"/>
      <c r="CH20" s="483"/>
      <c r="CI20" s="483"/>
      <c r="CJ20" s="471"/>
      <c r="CL20" s="524"/>
      <c r="CN20" s="483"/>
      <c r="CO20" s="471"/>
      <c r="CS20" s="484"/>
      <c r="CT20" s="484"/>
      <c r="CU20" s="484"/>
      <c r="CV20" s="484"/>
      <c r="CW20" s="484"/>
      <c r="CX20" s="484"/>
      <c r="CZ20" s="471"/>
      <c r="DA20" s="285"/>
      <c r="DB20" s="283"/>
      <c r="DC20" s="481"/>
      <c r="DD20" s="471"/>
      <c r="DF20" s="481"/>
      <c r="DG20" s="484"/>
      <c r="DH20" s="471"/>
      <c r="DI20" s="471"/>
      <c r="DN20" s="281"/>
      <c r="DO20" s="471"/>
      <c r="DP20" s="471"/>
      <c r="DR20" s="283"/>
      <c r="DT20" s="480"/>
      <c r="DU20" s="485"/>
      <c r="DV20" s="482"/>
      <c r="DY20" s="525"/>
      <c r="DZ20" s="526"/>
      <c r="EA20" s="487"/>
      <c r="EB20" s="285"/>
      <c r="EC20" s="285"/>
      <c r="ED20" s="283"/>
      <c r="EE20" s="283"/>
      <c r="EF20" s="526"/>
      <c r="EG20" s="526"/>
      <c r="EH20" s="527"/>
      <c r="EI20" s="283"/>
      <c r="EL20" s="526"/>
      <c r="EM20" s="518"/>
      <c r="EN20" s="518">
        <v>0</v>
      </c>
      <c r="EO20" s="518"/>
      <c r="EP20" s="518"/>
      <c r="EQ20" s="518"/>
      <c r="ER20" s="518"/>
      <c r="ES20" s="518"/>
      <c r="ET20" s="518"/>
      <c r="EU20" s="518"/>
      <c r="EV20" s="518"/>
      <c r="EW20" s="518"/>
      <c r="EX20" s="518"/>
      <c r="EY20" s="518"/>
      <c r="EZ20" s="518"/>
      <c r="FB20" s="518"/>
      <c r="FC20" s="518"/>
      <c r="FF20" s="518">
        <v>0</v>
      </c>
      <c r="FI20" s="488"/>
      <c r="FK20" s="488"/>
    </row>
    <row r="21" spans="1:169" s="488" customFormat="1" x14ac:dyDescent="0.2">
      <c r="A21" s="489" t="s">
        <v>3</v>
      </c>
      <c r="B21" s="489" t="s">
        <v>809</v>
      </c>
      <c r="C21" s="489">
        <v>2400</v>
      </c>
      <c r="D21" s="488" t="s">
        <v>169</v>
      </c>
      <c r="E21" s="490"/>
      <c r="F21" s="490"/>
      <c r="G21" s="490"/>
      <c r="H21" s="490"/>
      <c r="I21" s="490"/>
      <c r="J21" s="490"/>
      <c r="K21" s="490"/>
      <c r="L21" s="490"/>
      <c r="M21" s="490"/>
      <c r="N21" s="528">
        <v>132</v>
      </c>
      <c r="O21" s="529">
        <v>205.81439999999998</v>
      </c>
      <c r="P21" s="530">
        <v>339148.01300265978</v>
      </c>
      <c r="Q21" s="528">
        <v>75</v>
      </c>
      <c r="R21" s="529">
        <v>111.52500000000001</v>
      </c>
      <c r="S21" s="530">
        <v>183774.71231420949</v>
      </c>
      <c r="T21" s="531">
        <v>50</v>
      </c>
      <c r="U21" s="529">
        <v>88.2</v>
      </c>
      <c r="V21" s="530">
        <v>145338.97893847368</v>
      </c>
      <c r="W21" s="491"/>
      <c r="X21" s="532">
        <v>0</v>
      </c>
      <c r="Y21" s="530">
        <v>0</v>
      </c>
      <c r="Z21" s="529">
        <v>257</v>
      </c>
      <c r="AA21" s="532">
        <v>405.5394</v>
      </c>
      <c r="AB21" s="530">
        <v>668262</v>
      </c>
      <c r="AC21" s="490"/>
      <c r="AD21" s="490"/>
      <c r="AE21" s="490"/>
      <c r="AF21" s="490"/>
      <c r="AG21" s="490"/>
      <c r="AH21" s="490"/>
      <c r="AI21" s="533"/>
      <c r="AJ21" s="530">
        <v>0</v>
      </c>
      <c r="AK21" s="530">
        <v>0</v>
      </c>
      <c r="AL21" s="530">
        <v>5216.33</v>
      </c>
      <c r="AM21" s="534"/>
      <c r="AN21" s="530">
        <v>0</v>
      </c>
      <c r="AO21" s="535">
        <v>50.233333333333334</v>
      </c>
      <c r="AP21" s="530">
        <v>1932.7304244916245</v>
      </c>
      <c r="AQ21" s="536">
        <v>2</v>
      </c>
      <c r="AR21" s="530">
        <v>22680.611130037629</v>
      </c>
      <c r="AS21" s="490"/>
      <c r="AT21" s="536">
        <v>0</v>
      </c>
      <c r="AU21" s="536">
        <v>0</v>
      </c>
      <c r="AV21" s="537">
        <v>0</v>
      </c>
      <c r="AW21" s="538">
        <v>0</v>
      </c>
      <c r="AX21" s="539"/>
      <c r="AY21" s="535">
        <v>0</v>
      </c>
      <c r="AZ21" s="540"/>
      <c r="BA21" s="499"/>
      <c r="BB21" s="528">
        <v>12</v>
      </c>
      <c r="BC21" s="528">
        <v>9140.7715133531146</v>
      </c>
      <c r="BD21" s="528">
        <v>17</v>
      </c>
      <c r="BE21" s="538">
        <v>5555.3270520817887</v>
      </c>
      <c r="BF21" s="535">
        <v>259</v>
      </c>
      <c r="BG21" s="535">
        <v>150</v>
      </c>
      <c r="BH21" s="535">
        <v>253</v>
      </c>
      <c r="BI21" s="535">
        <v>146</v>
      </c>
      <c r="BJ21" s="536">
        <v>257</v>
      </c>
      <c r="BK21" s="536">
        <v>135</v>
      </c>
      <c r="BL21" s="541">
        <v>256.33</v>
      </c>
      <c r="BM21" s="541">
        <v>143.66999999999999</v>
      </c>
      <c r="BN21" s="542">
        <v>56.05</v>
      </c>
      <c r="BO21" s="529">
        <v>144.05000000000001</v>
      </c>
      <c r="BP21" s="528">
        <v>212432.75530181554</v>
      </c>
      <c r="BQ21" s="536">
        <v>45</v>
      </c>
      <c r="BR21" s="530">
        <v>9043.7099999999991</v>
      </c>
      <c r="BS21" s="536">
        <v>25</v>
      </c>
      <c r="BT21" s="530">
        <v>5052.1315037814747</v>
      </c>
      <c r="BU21" s="530">
        <v>747</v>
      </c>
      <c r="BV21" s="530">
        <v>169853.92916484477</v>
      </c>
      <c r="BW21" s="536">
        <v>14</v>
      </c>
      <c r="BX21" s="530">
        <v>11985.643946536644</v>
      </c>
      <c r="BY21" s="500"/>
      <c r="BZ21" s="282"/>
      <c r="CA21" s="282"/>
      <c r="CB21" s="490"/>
      <c r="CC21" s="490"/>
      <c r="CD21" s="490"/>
      <c r="CE21" s="282"/>
      <c r="CF21" s="490"/>
      <c r="CG21" s="543">
        <v>257</v>
      </c>
      <c r="CH21" s="532" t="e">
        <v>#DIV/0!</v>
      </c>
      <c r="CI21" s="532" t="e">
        <v>#DIV/0!</v>
      </c>
      <c r="CJ21" s="544"/>
      <c r="CK21" s="490"/>
      <c r="CL21" s="545">
        <v>1664.55</v>
      </c>
      <c r="CM21" s="546">
        <v>2</v>
      </c>
      <c r="CN21" s="532">
        <v>3329.1</v>
      </c>
      <c r="CO21" s="530">
        <v>4765.08</v>
      </c>
      <c r="CP21" s="490"/>
      <c r="CQ21" s="490"/>
      <c r="CR21" s="490"/>
      <c r="CS21" s="490"/>
      <c r="CT21" s="490"/>
      <c r="CU21" s="490"/>
      <c r="CV21" s="490"/>
      <c r="CW21" s="490"/>
      <c r="CX21" s="490"/>
      <c r="CY21" s="547"/>
      <c r="CZ21" s="530">
        <v>0</v>
      </c>
      <c r="DA21" s="506">
        <v>27251</v>
      </c>
      <c r="DB21" s="548"/>
      <c r="DC21" s="537">
        <v>0</v>
      </c>
      <c r="DD21" s="530">
        <v>0</v>
      </c>
      <c r="DE21" s="490"/>
      <c r="DF21" s="529">
        <v>1</v>
      </c>
      <c r="DG21" s="549">
        <v>70073.495851086889</v>
      </c>
      <c r="DH21" s="550"/>
      <c r="DI21" s="530">
        <v>0</v>
      </c>
      <c r="DJ21" s="551"/>
      <c r="DK21" s="552"/>
      <c r="DL21" s="282"/>
      <c r="DM21" s="490"/>
      <c r="DN21" s="509"/>
      <c r="DO21" s="553">
        <v>0</v>
      </c>
      <c r="DP21" s="530">
        <v>0</v>
      </c>
      <c r="DQ21" s="282"/>
      <c r="DR21" s="510"/>
      <c r="DS21" s="282"/>
      <c r="DT21" s="541">
        <v>0</v>
      </c>
      <c r="DU21" s="541">
        <v>0</v>
      </c>
      <c r="DV21" s="490"/>
      <c r="DW21" s="490"/>
      <c r="DX21" s="511"/>
      <c r="DY21" s="512">
        <v>0</v>
      </c>
      <c r="DZ21" s="513">
        <v>1223245.5158880292</v>
      </c>
      <c r="EA21" s="513">
        <v>0</v>
      </c>
      <c r="EB21" s="514">
        <v>0</v>
      </c>
      <c r="EC21" s="514">
        <v>0</v>
      </c>
      <c r="ED21" s="514">
        <v>0</v>
      </c>
      <c r="EE21" s="494"/>
      <c r="EF21" s="513">
        <v>1223245.5158880292</v>
      </c>
      <c r="EG21" s="513">
        <v>1195994.5158880292</v>
      </c>
      <c r="EH21" s="515">
        <v>257</v>
      </c>
      <c r="EI21" s="516">
        <v>10779.585213394015</v>
      </c>
      <c r="EJ21" s="517"/>
      <c r="EL21" s="518"/>
      <c r="EM21" s="518">
        <v>1223245.5158880292</v>
      </c>
      <c r="EN21" s="518">
        <v>0</v>
      </c>
      <c r="EO21" s="518">
        <v>0</v>
      </c>
      <c r="EP21" s="518">
        <v>0</v>
      </c>
      <c r="EQ21" s="518">
        <v>0</v>
      </c>
      <c r="ER21" s="518">
        <v>0</v>
      </c>
      <c r="ES21" s="518">
        <v>0</v>
      </c>
      <c r="ET21" s="518">
        <v>0</v>
      </c>
      <c r="EU21" s="518">
        <v>0</v>
      </c>
      <c r="EV21" s="518">
        <v>0</v>
      </c>
      <c r="EW21" s="518">
        <v>0</v>
      </c>
      <c r="EX21" s="518">
        <v>-22680.611130037629</v>
      </c>
      <c r="EY21" s="518">
        <v>0</v>
      </c>
      <c r="EZ21" s="518">
        <v>1200564.9047579917</v>
      </c>
      <c r="FB21" s="518">
        <v>0</v>
      </c>
      <c r="FC21" s="518">
        <v>0</v>
      </c>
      <c r="FF21" s="518">
        <v>1080718.8099265499</v>
      </c>
      <c r="FI21" s="488">
        <v>4617.5573259922758</v>
      </c>
      <c r="FK21" s="488">
        <v>260</v>
      </c>
      <c r="FL21" s="488">
        <v>0</v>
      </c>
      <c r="FM21" s="488">
        <v>260</v>
      </c>
    </row>
    <row r="22" spans="1:169" s="488" customFormat="1" x14ac:dyDescent="0.2">
      <c r="A22" s="489" t="s">
        <v>4</v>
      </c>
      <c r="B22" s="489" t="s">
        <v>810</v>
      </c>
      <c r="C22" s="489">
        <v>2443</v>
      </c>
      <c r="D22" s="488" t="s">
        <v>169</v>
      </c>
      <c r="E22" s="490"/>
      <c r="F22" s="490"/>
      <c r="G22" s="490"/>
      <c r="H22" s="490"/>
      <c r="I22" s="490"/>
      <c r="J22" s="490"/>
      <c r="K22" s="490"/>
      <c r="L22" s="490"/>
      <c r="M22" s="490"/>
      <c r="N22" s="528">
        <v>0</v>
      </c>
      <c r="O22" s="529">
        <v>0</v>
      </c>
      <c r="P22" s="530">
        <v>0</v>
      </c>
      <c r="Q22" s="528">
        <v>172</v>
      </c>
      <c r="R22" s="529">
        <v>255.76400000000001</v>
      </c>
      <c r="S22" s="530">
        <v>421456.67357392045</v>
      </c>
      <c r="T22" s="531">
        <v>90</v>
      </c>
      <c r="U22" s="529">
        <v>158.76</v>
      </c>
      <c r="V22" s="530">
        <v>261610.16208925261</v>
      </c>
      <c r="W22" s="491"/>
      <c r="X22" s="532">
        <v>0</v>
      </c>
      <c r="Y22" s="530">
        <v>0</v>
      </c>
      <c r="Z22" s="529">
        <v>262</v>
      </c>
      <c r="AA22" s="532">
        <v>414.524</v>
      </c>
      <c r="AB22" s="530">
        <v>683067</v>
      </c>
      <c r="AC22" s="490"/>
      <c r="AD22" s="490"/>
      <c r="AE22" s="490"/>
      <c r="AF22" s="490"/>
      <c r="AG22" s="490"/>
      <c r="AH22" s="490"/>
      <c r="AI22" s="533"/>
      <c r="AJ22" s="530">
        <v>0</v>
      </c>
      <c r="AK22" s="530">
        <v>0</v>
      </c>
      <c r="AL22" s="530">
        <v>5317.81</v>
      </c>
      <c r="AM22" s="534"/>
      <c r="AN22" s="530">
        <v>0</v>
      </c>
      <c r="AO22" s="535">
        <v>53.975000000000001</v>
      </c>
      <c r="AP22" s="530">
        <v>2076.6912673245274</v>
      </c>
      <c r="AQ22" s="536">
        <v>3</v>
      </c>
      <c r="AR22" s="530">
        <v>34020.916695056439</v>
      </c>
      <c r="AS22" s="490"/>
      <c r="AT22" s="536">
        <v>27.5</v>
      </c>
      <c r="AU22" s="536">
        <v>17.5</v>
      </c>
      <c r="AV22" s="537">
        <v>21.666666666666668</v>
      </c>
      <c r="AW22" s="538">
        <v>13014.034587756705</v>
      </c>
      <c r="AX22" s="539"/>
      <c r="AY22" s="535">
        <v>0</v>
      </c>
      <c r="AZ22" s="540"/>
      <c r="BA22" s="499"/>
      <c r="BB22" s="528">
        <v>1</v>
      </c>
      <c r="BC22" s="528">
        <v>761.73095944609292</v>
      </c>
      <c r="BD22" s="528">
        <v>9</v>
      </c>
      <c r="BE22" s="538">
        <v>2941.0554981609466</v>
      </c>
      <c r="BF22" s="535">
        <v>256</v>
      </c>
      <c r="BG22" s="535">
        <v>61</v>
      </c>
      <c r="BH22" s="535">
        <v>263</v>
      </c>
      <c r="BI22" s="535">
        <v>64</v>
      </c>
      <c r="BJ22" s="536">
        <v>262</v>
      </c>
      <c r="BK22" s="536">
        <v>58</v>
      </c>
      <c r="BL22" s="541">
        <v>260.33</v>
      </c>
      <c r="BM22" s="541">
        <v>61</v>
      </c>
      <c r="BN22" s="542">
        <v>23.43</v>
      </c>
      <c r="BO22" s="529">
        <v>61.39</v>
      </c>
      <c r="BP22" s="528">
        <v>90532.779229284657</v>
      </c>
      <c r="BQ22" s="536">
        <v>14</v>
      </c>
      <c r="BR22" s="530">
        <v>2813.6</v>
      </c>
      <c r="BS22" s="536">
        <v>25</v>
      </c>
      <c r="BT22" s="530">
        <v>5052.1315037814747</v>
      </c>
      <c r="BU22" s="530">
        <v>351</v>
      </c>
      <c r="BV22" s="530">
        <v>79810.882378662005</v>
      </c>
      <c r="BW22" s="536">
        <v>6</v>
      </c>
      <c r="BX22" s="530">
        <v>5136.704548515705</v>
      </c>
      <c r="BY22" s="500"/>
      <c r="BZ22" s="282"/>
      <c r="CA22" s="282"/>
      <c r="CB22" s="490"/>
      <c r="CC22" s="490"/>
      <c r="CD22" s="490"/>
      <c r="CE22" s="282"/>
      <c r="CF22" s="490"/>
      <c r="CG22" s="543">
        <v>262</v>
      </c>
      <c r="CH22" s="532" t="e">
        <v>#DIV/0!</v>
      </c>
      <c r="CI22" s="532" t="e">
        <v>#DIV/0!</v>
      </c>
      <c r="CJ22" s="544"/>
      <c r="CK22" s="490"/>
      <c r="CL22" s="545">
        <v>1107.7741066935077</v>
      </c>
      <c r="CM22" s="546">
        <v>2</v>
      </c>
      <c r="CN22" s="532">
        <v>2215.5482133870155</v>
      </c>
      <c r="CO22" s="530">
        <v>3171.21</v>
      </c>
      <c r="CP22" s="490"/>
      <c r="CQ22" s="490"/>
      <c r="CR22" s="490"/>
      <c r="CS22" s="490"/>
      <c r="CT22" s="490"/>
      <c r="CU22" s="490"/>
      <c r="CV22" s="490"/>
      <c r="CW22" s="490"/>
      <c r="CX22" s="490"/>
      <c r="CY22" s="547"/>
      <c r="CZ22" s="530">
        <v>0</v>
      </c>
      <c r="DA22" s="506">
        <v>13282</v>
      </c>
      <c r="DB22" s="548"/>
      <c r="DC22" s="537">
        <v>0</v>
      </c>
      <c r="DD22" s="530">
        <v>0</v>
      </c>
      <c r="DE22" s="490"/>
      <c r="DF22" s="529">
        <v>1</v>
      </c>
      <c r="DG22" s="549">
        <v>70073.495851086889</v>
      </c>
      <c r="DH22" s="550"/>
      <c r="DI22" s="530">
        <v>0</v>
      </c>
      <c r="DJ22" s="551"/>
      <c r="DK22" s="552"/>
      <c r="DL22" s="282"/>
      <c r="DM22" s="490"/>
      <c r="DN22" s="509"/>
      <c r="DO22" s="553">
        <v>0</v>
      </c>
      <c r="DP22" s="530">
        <v>0</v>
      </c>
      <c r="DQ22" s="282"/>
      <c r="DR22" s="510"/>
      <c r="DS22" s="282"/>
      <c r="DT22" s="541">
        <v>0</v>
      </c>
      <c r="DU22" s="541">
        <v>0</v>
      </c>
      <c r="DV22" s="490"/>
      <c r="DW22" s="490"/>
      <c r="DX22" s="511">
        <v>112349.0098</v>
      </c>
      <c r="DY22" s="512">
        <v>0</v>
      </c>
      <c r="DZ22" s="513">
        <v>1123421.0523190754</v>
      </c>
      <c r="EA22" s="513">
        <v>0</v>
      </c>
      <c r="EB22" s="514">
        <v>4254</v>
      </c>
      <c r="EC22" s="514">
        <v>0</v>
      </c>
      <c r="ED22" s="514">
        <v>-4287.4839999999967</v>
      </c>
      <c r="EE22" s="494"/>
      <c r="EF22" s="513">
        <v>1123387.5683190755</v>
      </c>
      <c r="EG22" s="513">
        <v>1110105.5683190755</v>
      </c>
      <c r="EH22" s="515">
        <v>262</v>
      </c>
      <c r="EI22" s="516">
        <v>10989.304770074832</v>
      </c>
      <c r="EJ22" s="517"/>
      <c r="EL22" s="518"/>
      <c r="EM22" s="518">
        <v>1123387.5683190755</v>
      </c>
      <c r="EN22" s="518">
        <v>-112349.0098</v>
      </c>
      <c r="EO22" s="518">
        <v>4287.4839999999967</v>
      </c>
      <c r="EP22" s="518">
        <v>0</v>
      </c>
      <c r="EQ22" s="518">
        <v>-13014.034587756705</v>
      </c>
      <c r="ER22" s="518">
        <v>0</v>
      </c>
      <c r="ES22" s="518">
        <v>-4254</v>
      </c>
      <c r="ET22" s="518">
        <v>0</v>
      </c>
      <c r="EU22" s="518">
        <v>0</v>
      </c>
      <c r="EV22" s="518">
        <v>0</v>
      </c>
      <c r="EW22" s="518">
        <v>0</v>
      </c>
      <c r="EX22" s="518">
        <v>-34020.916695056439</v>
      </c>
      <c r="EY22" s="518">
        <v>0</v>
      </c>
      <c r="EZ22" s="518">
        <v>964037.09123626235</v>
      </c>
      <c r="FB22" s="518">
        <v>108061.5258</v>
      </c>
      <c r="FC22" s="518">
        <v>-13014.034587756705</v>
      </c>
      <c r="FF22" s="518">
        <v>862122.69711590838</v>
      </c>
      <c r="FI22" s="488">
        <v>3722.1509314141404</v>
      </c>
      <c r="FK22" s="488">
        <v>259</v>
      </c>
      <c r="FL22" s="488">
        <v>0</v>
      </c>
      <c r="FM22" s="488">
        <v>259</v>
      </c>
    </row>
    <row r="23" spans="1:169" s="488" customFormat="1" x14ac:dyDescent="0.2">
      <c r="A23" s="489" t="s">
        <v>312</v>
      </c>
      <c r="B23" s="489" t="s">
        <v>811</v>
      </c>
      <c r="C23" s="489">
        <v>2442</v>
      </c>
      <c r="D23" s="488" t="s">
        <v>169</v>
      </c>
      <c r="E23" s="490"/>
      <c r="F23" s="490"/>
      <c r="G23" s="490"/>
      <c r="H23" s="490"/>
      <c r="I23" s="490"/>
      <c r="J23" s="490"/>
      <c r="K23" s="490"/>
      <c r="L23" s="490"/>
      <c r="M23" s="490"/>
      <c r="N23" s="528">
        <v>295</v>
      </c>
      <c r="O23" s="529">
        <v>459.964</v>
      </c>
      <c r="P23" s="530">
        <v>757944.42299836851</v>
      </c>
      <c r="Q23" s="528">
        <v>0</v>
      </c>
      <c r="R23" s="529">
        <v>0</v>
      </c>
      <c r="S23" s="530">
        <v>0</v>
      </c>
      <c r="T23" s="531">
        <v>0</v>
      </c>
      <c r="U23" s="529">
        <v>0</v>
      </c>
      <c r="V23" s="530">
        <v>0</v>
      </c>
      <c r="W23" s="491"/>
      <c r="X23" s="532">
        <v>0</v>
      </c>
      <c r="Y23" s="530">
        <v>0</v>
      </c>
      <c r="Z23" s="529">
        <v>295</v>
      </c>
      <c r="AA23" s="532">
        <v>459.964</v>
      </c>
      <c r="AB23" s="530">
        <v>757945</v>
      </c>
      <c r="AC23" s="490"/>
      <c r="AD23" s="490"/>
      <c r="AE23" s="490"/>
      <c r="AF23" s="490"/>
      <c r="AG23" s="490"/>
      <c r="AH23" s="490"/>
      <c r="AI23" s="554">
        <v>184491.52137222089</v>
      </c>
      <c r="AJ23" s="530">
        <v>0</v>
      </c>
      <c r="AK23" s="530">
        <v>0</v>
      </c>
      <c r="AL23" s="530">
        <v>5987.61</v>
      </c>
      <c r="AM23" s="534"/>
      <c r="AN23" s="530">
        <v>0</v>
      </c>
      <c r="AO23" s="535">
        <v>54.825000000000003</v>
      </c>
      <c r="AP23" s="530">
        <v>2109.3950668099533</v>
      </c>
      <c r="AQ23" s="536">
        <v>0</v>
      </c>
      <c r="AR23" s="530">
        <v>0</v>
      </c>
      <c r="AS23" s="490"/>
      <c r="AT23" s="536">
        <v>10</v>
      </c>
      <c r="AU23" s="536">
        <v>5</v>
      </c>
      <c r="AV23" s="537">
        <v>7.083333333333333</v>
      </c>
      <c r="AW23" s="538">
        <v>4254.5882306127687</v>
      </c>
      <c r="AX23" s="539">
        <v>15</v>
      </c>
      <c r="AY23" s="535">
        <v>9009.7162530623336</v>
      </c>
      <c r="AZ23" s="540"/>
      <c r="BA23" s="499"/>
      <c r="BB23" s="528">
        <v>8</v>
      </c>
      <c r="BC23" s="528">
        <v>6093.8476755687434</v>
      </c>
      <c r="BD23" s="528">
        <v>18</v>
      </c>
      <c r="BE23" s="538">
        <v>5882.1109963218933</v>
      </c>
      <c r="BF23" s="535">
        <v>324</v>
      </c>
      <c r="BG23" s="535">
        <v>76</v>
      </c>
      <c r="BH23" s="535">
        <v>296</v>
      </c>
      <c r="BI23" s="535">
        <v>81</v>
      </c>
      <c r="BJ23" s="536">
        <v>295</v>
      </c>
      <c r="BK23" s="536">
        <v>81</v>
      </c>
      <c r="BL23" s="541">
        <v>305</v>
      </c>
      <c r="BM23" s="541">
        <v>79.33</v>
      </c>
      <c r="BN23" s="542">
        <v>26.01</v>
      </c>
      <c r="BO23" s="529">
        <v>76.73</v>
      </c>
      <c r="BP23" s="528">
        <v>113154.91367100524</v>
      </c>
      <c r="BQ23" s="536">
        <v>13</v>
      </c>
      <c r="BR23" s="530">
        <v>2612.63</v>
      </c>
      <c r="BS23" s="536">
        <v>22</v>
      </c>
      <c r="BT23" s="530">
        <v>4445.8757233276974</v>
      </c>
      <c r="BU23" s="530">
        <v>413</v>
      </c>
      <c r="BV23" s="530">
        <v>93908.531117912833</v>
      </c>
      <c r="BW23" s="536">
        <v>10</v>
      </c>
      <c r="BX23" s="530">
        <v>8561.1742475261744</v>
      </c>
      <c r="BY23" s="500"/>
      <c r="BZ23" s="282"/>
      <c r="CA23" s="282"/>
      <c r="CB23" s="490"/>
      <c r="CC23" s="490"/>
      <c r="CD23" s="490"/>
      <c r="CE23" s="282"/>
      <c r="CF23" s="490"/>
      <c r="CG23" s="543">
        <v>295</v>
      </c>
      <c r="CH23" s="532" t="e">
        <v>#DIV/0!</v>
      </c>
      <c r="CI23" s="532" t="e">
        <v>#DIV/0!</v>
      </c>
      <c r="CJ23" s="544"/>
      <c r="CK23" s="490"/>
      <c r="CL23" s="545">
        <v>2889.44</v>
      </c>
      <c r="CM23" s="546">
        <v>2</v>
      </c>
      <c r="CN23" s="532">
        <v>5778.88</v>
      </c>
      <c r="CO23" s="530">
        <v>8271.5499999999993</v>
      </c>
      <c r="CP23" s="490"/>
      <c r="CQ23" s="490"/>
      <c r="CR23" s="490"/>
      <c r="CS23" s="490"/>
      <c r="CT23" s="490"/>
      <c r="CU23" s="490"/>
      <c r="CV23" s="490"/>
      <c r="CW23" s="490"/>
      <c r="CX23" s="490"/>
      <c r="CY23" s="547"/>
      <c r="CZ23" s="530">
        <v>0</v>
      </c>
      <c r="DA23" s="506">
        <v>13282</v>
      </c>
      <c r="DB23" s="548"/>
      <c r="DC23" s="537">
        <v>0</v>
      </c>
      <c r="DD23" s="530">
        <v>0</v>
      </c>
      <c r="DE23" s="490"/>
      <c r="DF23" s="529">
        <v>1</v>
      </c>
      <c r="DG23" s="549">
        <v>70073.495851086889</v>
      </c>
      <c r="DH23" s="550"/>
      <c r="DI23" s="530">
        <v>0</v>
      </c>
      <c r="DJ23" s="551"/>
      <c r="DK23" s="552"/>
      <c r="DL23" s="282"/>
      <c r="DM23" s="490"/>
      <c r="DN23" s="509"/>
      <c r="DO23" s="553">
        <v>0</v>
      </c>
      <c r="DP23" s="530">
        <v>0</v>
      </c>
      <c r="DQ23" s="282"/>
      <c r="DR23" s="510"/>
      <c r="DS23" s="282"/>
      <c r="DT23" s="541">
        <v>0</v>
      </c>
      <c r="DU23" s="541">
        <v>0</v>
      </c>
      <c r="DV23" s="490"/>
      <c r="DW23" s="490"/>
      <c r="DX23" s="511"/>
      <c r="DY23" s="512">
        <v>0</v>
      </c>
      <c r="DZ23" s="513">
        <v>1290083.9602054553</v>
      </c>
      <c r="EA23" s="513">
        <v>0</v>
      </c>
      <c r="EB23" s="514">
        <v>0</v>
      </c>
      <c r="EC23" s="514">
        <v>0</v>
      </c>
      <c r="ED23" s="514">
        <v>0</v>
      </c>
      <c r="EE23" s="494"/>
      <c r="EF23" s="513">
        <v>1290083.9602054553</v>
      </c>
      <c r="EG23" s="513">
        <v>1276801.9602054553</v>
      </c>
      <c r="EH23" s="515">
        <v>295</v>
      </c>
      <c r="EI23" s="516">
        <v>12373.453844168227</v>
      </c>
      <c r="EJ23" s="517"/>
      <c r="EL23" s="518"/>
      <c r="EM23" s="518">
        <v>1290083.9602054553</v>
      </c>
      <c r="EN23" s="518">
        <v>0</v>
      </c>
      <c r="EO23" s="518">
        <v>0</v>
      </c>
      <c r="EP23" s="518">
        <v>0</v>
      </c>
      <c r="EQ23" s="518">
        <v>-4254.5882306127687</v>
      </c>
      <c r="ER23" s="518">
        <v>-9009.7162530623336</v>
      </c>
      <c r="ES23" s="518">
        <v>0</v>
      </c>
      <c r="ET23" s="518">
        <v>-184491.52137222089</v>
      </c>
      <c r="EU23" s="518">
        <v>0</v>
      </c>
      <c r="EV23" s="518">
        <v>0</v>
      </c>
      <c r="EW23" s="518">
        <v>0</v>
      </c>
      <c r="EX23" s="518">
        <v>0</v>
      </c>
      <c r="EY23" s="518">
        <v>-28262.334416888316</v>
      </c>
      <c r="EZ23" s="518">
        <v>1064065.799932671</v>
      </c>
      <c r="FB23" s="518">
        <v>0</v>
      </c>
      <c r="FC23" s="518">
        <v>-197755.82585589599</v>
      </c>
      <c r="FF23" s="518">
        <v>982276.09671201312</v>
      </c>
      <c r="FI23" s="488">
        <v>3733.5642102900738</v>
      </c>
      <c r="FK23" s="488">
        <v>296</v>
      </c>
      <c r="FL23" s="488">
        <v>11</v>
      </c>
      <c r="FM23" s="488">
        <v>285</v>
      </c>
    </row>
    <row r="24" spans="1:169" s="488" customFormat="1" x14ac:dyDescent="0.2">
      <c r="A24" s="489" t="s">
        <v>6</v>
      </c>
      <c r="B24" s="489" t="s">
        <v>812</v>
      </c>
      <c r="C24" s="489">
        <v>2629</v>
      </c>
      <c r="D24" s="488" t="s">
        <v>169</v>
      </c>
      <c r="E24" s="490"/>
      <c r="F24" s="490"/>
      <c r="G24" s="490"/>
      <c r="H24" s="490"/>
      <c r="I24" s="490"/>
      <c r="J24" s="490"/>
      <c r="K24" s="490"/>
      <c r="L24" s="490"/>
      <c r="M24" s="490"/>
      <c r="N24" s="528">
        <v>176</v>
      </c>
      <c r="O24" s="529">
        <v>274.41919999999999</v>
      </c>
      <c r="P24" s="530">
        <v>452197.35067021311</v>
      </c>
      <c r="Q24" s="528">
        <v>88</v>
      </c>
      <c r="R24" s="529">
        <v>130.85599999999999</v>
      </c>
      <c r="S24" s="530">
        <v>215628.9957820058</v>
      </c>
      <c r="T24" s="531">
        <v>45</v>
      </c>
      <c r="U24" s="529">
        <v>79.38</v>
      </c>
      <c r="V24" s="530">
        <v>130805.08104462631</v>
      </c>
      <c r="W24" s="491"/>
      <c r="X24" s="532">
        <v>0</v>
      </c>
      <c r="Y24" s="530">
        <v>0</v>
      </c>
      <c r="Z24" s="529">
        <v>309</v>
      </c>
      <c r="AA24" s="532">
        <v>484.65519999999998</v>
      </c>
      <c r="AB24" s="530">
        <v>798631</v>
      </c>
      <c r="AC24" s="490"/>
      <c r="AD24" s="490"/>
      <c r="AE24" s="490"/>
      <c r="AF24" s="490"/>
      <c r="AG24" s="490"/>
      <c r="AH24" s="490"/>
      <c r="AI24" s="554">
        <v>146920.57861599582</v>
      </c>
      <c r="AJ24" s="530">
        <v>0</v>
      </c>
      <c r="AK24" s="530">
        <v>0</v>
      </c>
      <c r="AL24" s="530">
        <v>6271.77</v>
      </c>
      <c r="AM24" s="534"/>
      <c r="AN24" s="530">
        <v>0</v>
      </c>
      <c r="AO24" s="535">
        <v>56.6</v>
      </c>
      <c r="AP24" s="530">
        <v>2177.6882951471653</v>
      </c>
      <c r="AQ24" s="536">
        <v>2</v>
      </c>
      <c r="AR24" s="530">
        <v>22680.611130037629</v>
      </c>
      <c r="AS24" s="490"/>
      <c r="AT24" s="536">
        <v>0</v>
      </c>
      <c r="AU24" s="536">
        <v>0</v>
      </c>
      <c r="AV24" s="537">
        <v>0</v>
      </c>
      <c r="AW24" s="538">
        <v>0</v>
      </c>
      <c r="AX24" s="539"/>
      <c r="AY24" s="535">
        <v>0</v>
      </c>
      <c r="AZ24" s="540"/>
      <c r="BA24" s="499"/>
      <c r="BB24" s="528">
        <v>20</v>
      </c>
      <c r="BC24" s="528">
        <v>15234.619188921859</v>
      </c>
      <c r="BD24" s="528">
        <v>25</v>
      </c>
      <c r="BE24" s="538">
        <v>8169.5986060026298</v>
      </c>
      <c r="BF24" s="535">
        <v>302</v>
      </c>
      <c r="BG24" s="535">
        <v>96</v>
      </c>
      <c r="BH24" s="535">
        <v>307</v>
      </c>
      <c r="BI24" s="535">
        <v>96</v>
      </c>
      <c r="BJ24" s="536">
        <v>309</v>
      </c>
      <c r="BK24" s="536">
        <v>87</v>
      </c>
      <c r="BL24" s="541">
        <v>306</v>
      </c>
      <c r="BM24" s="541">
        <v>93</v>
      </c>
      <c r="BN24" s="542">
        <v>30.39</v>
      </c>
      <c r="BO24" s="529">
        <v>93.91</v>
      </c>
      <c r="BP24" s="528">
        <v>138490.52447340157</v>
      </c>
      <c r="BQ24" s="536">
        <v>253</v>
      </c>
      <c r="BR24" s="530">
        <v>50845.77</v>
      </c>
      <c r="BS24" s="536">
        <v>272</v>
      </c>
      <c r="BT24" s="530">
        <v>54967.190761142439</v>
      </c>
      <c r="BU24" s="530">
        <v>881</v>
      </c>
      <c r="BV24" s="530">
        <v>200323.04095612885</v>
      </c>
      <c r="BW24" s="536">
        <v>9</v>
      </c>
      <c r="BX24" s="530">
        <v>7705.0568227735575</v>
      </c>
      <c r="BY24" s="500"/>
      <c r="BZ24" s="282"/>
      <c r="CA24" s="282"/>
      <c r="CB24" s="490"/>
      <c r="CC24" s="490"/>
      <c r="CD24" s="490"/>
      <c r="CE24" s="282"/>
      <c r="CF24" s="490"/>
      <c r="CG24" s="543">
        <v>309</v>
      </c>
      <c r="CH24" s="532" t="e">
        <v>#DIV/0!</v>
      </c>
      <c r="CI24" s="532" t="e">
        <v>#DIV/0!</v>
      </c>
      <c r="CJ24" s="544"/>
      <c r="CK24" s="490"/>
      <c r="CL24" s="545">
        <v>1933.2734620565784</v>
      </c>
      <c r="CM24" s="546">
        <v>2</v>
      </c>
      <c r="CN24" s="532">
        <v>3866.5469241131568</v>
      </c>
      <c r="CO24" s="530">
        <v>5534.35</v>
      </c>
      <c r="CP24" s="490"/>
      <c r="CQ24" s="490"/>
      <c r="CR24" s="490"/>
      <c r="CS24" s="490"/>
      <c r="CT24" s="490"/>
      <c r="CU24" s="490"/>
      <c r="CV24" s="490"/>
      <c r="CW24" s="490"/>
      <c r="CX24" s="490"/>
      <c r="CY24" s="547"/>
      <c r="CZ24" s="530">
        <v>0</v>
      </c>
      <c r="DA24" s="506">
        <v>25877</v>
      </c>
      <c r="DB24" s="548"/>
      <c r="DC24" s="537">
        <v>0</v>
      </c>
      <c r="DD24" s="530">
        <v>0</v>
      </c>
      <c r="DE24" s="490"/>
      <c r="DF24" s="529">
        <v>1</v>
      </c>
      <c r="DG24" s="549">
        <v>70073.495851086889</v>
      </c>
      <c r="DH24" s="550"/>
      <c r="DI24" s="530">
        <v>0</v>
      </c>
      <c r="DJ24" s="551"/>
      <c r="DK24" s="552"/>
      <c r="DL24" s="282"/>
      <c r="DM24" s="490"/>
      <c r="DN24" s="509"/>
      <c r="DO24" s="553">
        <v>0</v>
      </c>
      <c r="DP24" s="530">
        <v>0</v>
      </c>
      <c r="DQ24" s="282"/>
      <c r="DR24" s="510"/>
      <c r="DS24" s="282"/>
      <c r="DT24" s="541">
        <v>0</v>
      </c>
      <c r="DU24" s="541">
        <v>0</v>
      </c>
      <c r="DV24" s="490"/>
      <c r="DW24" s="490"/>
      <c r="DX24" s="511">
        <v>177459.2654</v>
      </c>
      <c r="DY24" s="512">
        <v>0</v>
      </c>
      <c r="DZ24" s="513">
        <v>1731361.5601006383</v>
      </c>
      <c r="EA24" s="513">
        <v>37135.745870695217</v>
      </c>
      <c r="EB24" s="514">
        <v>0</v>
      </c>
      <c r="EC24" s="514">
        <v>0</v>
      </c>
      <c r="ED24" s="514">
        <v>-3244.5777999999991</v>
      </c>
      <c r="EE24" s="494"/>
      <c r="EF24" s="513">
        <v>1765252.7281713334</v>
      </c>
      <c r="EG24" s="513">
        <v>1739375.7281713334</v>
      </c>
      <c r="EH24" s="515">
        <v>309</v>
      </c>
      <c r="EI24" s="516">
        <v>12960.668602874515</v>
      </c>
      <c r="EJ24" s="517"/>
      <c r="EL24" s="518"/>
      <c r="EM24" s="518">
        <v>1765252.7281713334</v>
      </c>
      <c r="EN24" s="518">
        <v>-177459.2654</v>
      </c>
      <c r="EO24" s="518">
        <v>3244.5777999999991</v>
      </c>
      <c r="EP24" s="518">
        <v>-4502.3131500169329</v>
      </c>
      <c r="EQ24" s="518">
        <v>0</v>
      </c>
      <c r="ER24" s="518">
        <v>0</v>
      </c>
      <c r="ES24" s="518">
        <v>0</v>
      </c>
      <c r="ET24" s="518">
        <v>-146920.57861599582</v>
      </c>
      <c r="EU24" s="518">
        <v>0</v>
      </c>
      <c r="EV24" s="518">
        <v>0</v>
      </c>
      <c r="EW24" s="518">
        <v>0</v>
      </c>
      <c r="EX24" s="518">
        <v>-22680.611130037629</v>
      </c>
      <c r="EY24" s="518">
        <v>-10039.265252661644</v>
      </c>
      <c r="EZ24" s="518">
        <v>1406895.2724226217</v>
      </c>
      <c r="FB24" s="518">
        <v>178717.00075001694</v>
      </c>
      <c r="FC24" s="518">
        <v>-146920.57861599582</v>
      </c>
      <c r="FF24" s="518">
        <v>1211230.0114412259</v>
      </c>
      <c r="FI24" s="488">
        <v>4737.0211192680863</v>
      </c>
      <c r="FK24" s="488">
        <v>301</v>
      </c>
      <c r="FL24" s="488">
        <v>4</v>
      </c>
      <c r="FM24" s="488">
        <v>297</v>
      </c>
    </row>
    <row r="25" spans="1:169" s="488" customFormat="1" x14ac:dyDescent="0.2">
      <c r="A25" s="489" t="s">
        <v>7</v>
      </c>
      <c r="B25" s="489" t="s">
        <v>813</v>
      </c>
      <c r="C25" s="489">
        <v>2509</v>
      </c>
      <c r="D25" s="488" t="s">
        <v>169</v>
      </c>
      <c r="E25" s="490"/>
      <c r="F25" s="490"/>
      <c r="G25" s="490"/>
      <c r="H25" s="490"/>
      <c r="I25" s="490"/>
      <c r="J25" s="490"/>
      <c r="K25" s="490"/>
      <c r="L25" s="490"/>
      <c r="M25" s="490"/>
      <c r="N25" s="528">
        <v>88</v>
      </c>
      <c r="O25" s="529">
        <v>137.20959999999999</v>
      </c>
      <c r="P25" s="530">
        <v>226098.67533510656</v>
      </c>
      <c r="Q25" s="528">
        <v>53</v>
      </c>
      <c r="R25" s="529">
        <v>78.811000000000007</v>
      </c>
      <c r="S25" s="530">
        <v>129867.46336870805</v>
      </c>
      <c r="T25" s="531">
        <v>32</v>
      </c>
      <c r="U25" s="529">
        <v>56.448</v>
      </c>
      <c r="V25" s="530">
        <v>93016.946520623154</v>
      </c>
      <c r="W25" s="491"/>
      <c r="X25" s="532">
        <v>0</v>
      </c>
      <c r="Y25" s="530">
        <v>0</v>
      </c>
      <c r="Z25" s="529">
        <v>173</v>
      </c>
      <c r="AA25" s="532">
        <v>272.46860000000004</v>
      </c>
      <c r="AB25" s="530">
        <v>448982</v>
      </c>
      <c r="AC25" s="490"/>
      <c r="AD25" s="490"/>
      <c r="AE25" s="490"/>
      <c r="AF25" s="490"/>
      <c r="AG25" s="490"/>
      <c r="AH25" s="490"/>
      <c r="AI25" s="533"/>
      <c r="AJ25" s="530">
        <v>0</v>
      </c>
      <c r="AK25" s="530">
        <v>0</v>
      </c>
      <c r="AL25" s="530">
        <v>3511.38</v>
      </c>
      <c r="AM25" s="534"/>
      <c r="AN25" s="530">
        <v>0</v>
      </c>
      <c r="AO25" s="535">
        <v>48.1</v>
      </c>
      <c r="AP25" s="530">
        <v>1850.6503002929094</v>
      </c>
      <c r="AQ25" s="536">
        <v>2</v>
      </c>
      <c r="AR25" s="530">
        <v>22680.611130037629</v>
      </c>
      <c r="AS25" s="490"/>
      <c r="AT25" s="536">
        <v>1</v>
      </c>
      <c r="AU25" s="536">
        <v>0</v>
      </c>
      <c r="AV25" s="537">
        <v>0.41666666666666669</v>
      </c>
      <c r="AW25" s="538">
        <v>250.26989591839819</v>
      </c>
      <c r="AX25" s="539"/>
      <c r="AY25" s="535">
        <v>0</v>
      </c>
      <c r="AZ25" s="540"/>
      <c r="BA25" s="499"/>
      <c r="BB25" s="528">
        <v>7</v>
      </c>
      <c r="BC25" s="528">
        <v>5332.1167161226504</v>
      </c>
      <c r="BD25" s="528">
        <v>19</v>
      </c>
      <c r="BE25" s="538">
        <v>6208.8949405619987</v>
      </c>
      <c r="BF25" s="535">
        <v>187</v>
      </c>
      <c r="BG25" s="535">
        <v>28</v>
      </c>
      <c r="BH25" s="535">
        <v>175</v>
      </c>
      <c r="BI25" s="535">
        <v>32</v>
      </c>
      <c r="BJ25" s="536">
        <v>173</v>
      </c>
      <c r="BK25" s="536">
        <v>35</v>
      </c>
      <c r="BL25" s="541">
        <v>178.33</v>
      </c>
      <c r="BM25" s="541">
        <v>31.67</v>
      </c>
      <c r="BN25" s="542">
        <v>17.760000000000002</v>
      </c>
      <c r="BO25" s="529">
        <v>30.72</v>
      </c>
      <c r="BP25" s="528">
        <v>45303.257499977597</v>
      </c>
      <c r="BQ25" s="536">
        <v>28</v>
      </c>
      <c r="BR25" s="530">
        <v>5627.2</v>
      </c>
      <c r="BS25" s="536">
        <v>30</v>
      </c>
      <c r="BT25" s="530">
        <v>6062.5578045377697</v>
      </c>
      <c r="BU25" s="530">
        <v>225</v>
      </c>
      <c r="BV25" s="530">
        <v>51160.822037603844</v>
      </c>
      <c r="BW25" s="536">
        <v>2</v>
      </c>
      <c r="BX25" s="530">
        <v>1712.2348495052349</v>
      </c>
      <c r="BY25" s="500"/>
      <c r="BZ25" s="282"/>
      <c r="CA25" s="282"/>
      <c r="CB25" s="490"/>
      <c r="CC25" s="490"/>
      <c r="CD25" s="490"/>
      <c r="CE25" s="282"/>
      <c r="CF25" s="490"/>
      <c r="CG25" s="543">
        <v>173</v>
      </c>
      <c r="CH25" s="532" t="e">
        <v>#DIV/0!</v>
      </c>
      <c r="CI25" s="532" t="e">
        <v>#DIV/0!</v>
      </c>
      <c r="CJ25" s="544"/>
      <c r="CK25" s="490"/>
      <c r="CL25" s="545">
        <v>1203.74</v>
      </c>
      <c r="CM25" s="546">
        <v>2</v>
      </c>
      <c r="CN25" s="532">
        <v>2407.48</v>
      </c>
      <c r="CO25" s="530">
        <v>3445.93</v>
      </c>
      <c r="CP25" s="490"/>
      <c r="CQ25" s="490"/>
      <c r="CR25" s="490"/>
      <c r="CS25" s="490"/>
      <c r="CT25" s="490"/>
      <c r="CU25" s="490"/>
      <c r="CV25" s="490"/>
      <c r="CW25" s="490"/>
      <c r="CX25" s="490"/>
      <c r="CY25" s="547"/>
      <c r="CZ25" s="530">
        <v>0</v>
      </c>
      <c r="DA25" s="506">
        <v>12480.5</v>
      </c>
      <c r="DB25" s="548"/>
      <c r="DC25" s="537">
        <v>0</v>
      </c>
      <c r="DD25" s="530">
        <v>0</v>
      </c>
      <c r="DE25" s="490"/>
      <c r="DF25" s="529">
        <v>1</v>
      </c>
      <c r="DG25" s="549">
        <v>74722.185859261808</v>
      </c>
      <c r="DH25" s="550"/>
      <c r="DI25" s="530">
        <v>0</v>
      </c>
      <c r="DJ25" s="551"/>
      <c r="DK25" s="552"/>
      <c r="DL25" s="282"/>
      <c r="DM25" s="490"/>
      <c r="DN25" s="509"/>
      <c r="DO25" s="553">
        <v>0</v>
      </c>
      <c r="DP25" s="530">
        <v>0</v>
      </c>
      <c r="DQ25" s="282"/>
      <c r="DR25" s="510"/>
      <c r="DS25" s="282"/>
      <c r="DT25" s="541">
        <v>0</v>
      </c>
      <c r="DU25" s="541">
        <v>0</v>
      </c>
      <c r="DV25" s="490"/>
      <c r="DW25" s="490"/>
      <c r="DX25" s="511"/>
      <c r="DY25" s="512">
        <v>6580.8010000000004</v>
      </c>
      <c r="DZ25" s="513">
        <v>695911.41203381971</v>
      </c>
      <c r="EA25" s="513">
        <v>12020.538005692186</v>
      </c>
      <c r="EB25" s="514">
        <v>-3204</v>
      </c>
      <c r="EC25" s="514">
        <v>0</v>
      </c>
      <c r="ED25" s="514">
        <v>0</v>
      </c>
      <c r="EE25" s="494"/>
      <c r="EF25" s="513">
        <v>704727.9500395119</v>
      </c>
      <c r="EG25" s="513">
        <v>692247.4500395119</v>
      </c>
      <c r="EH25" s="515">
        <v>173</v>
      </c>
      <c r="EI25" s="516">
        <v>7256.2966611562824</v>
      </c>
      <c r="EJ25" s="517"/>
      <c r="EL25" s="518"/>
      <c r="EM25" s="518">
        <v>704727.9500395119</v>
      </c>
      <c r="EN25" s="518">
        <v>0</v>
      </c>
      <c r="EO25" s="518">
        <v>0</v>
      </c>
      <c r="EP25" s="518">
        <v>0</v>
      </c>
      <c r="EQ25" s="518">
        <v>-250.26989591839819</v>
      </c>
      <c r="ER25" s="518">
        <v>0</v>
      </c>
      <c r="ES25" s="518">
        <v>3204</v>
      </c>
      <c r="ET25" s="518">
        <v>0</v>
      </c>
      <c r="EU25" s="518">
        <v>0</v>
      </c>
      <c r="EV25" s="518">
        <v>0</v>
      </c>
      <c r="EW25" s="518">
        <v>0</v>
      </c>
      <c r="EX25" s="518">
        <v>-22680.611130037629</v>
      </c>
      <c r="EY25" s="518">
        <v>0</v>
      </c>
      <c r="EZ25" s="518">
        <v>685001.06901355588</v>
      </c>
      <c r="FB25" s="518">
        <v>0</v>
      </c>
      <c r="FC25" s="518">
        <v>-250.26989591839811</v>
      </c>
      <c r="FF25" s="518">
        <v>558117.63110320934</v>
      </c>
      <c r="FI25" s="488">
        <v>4029.4180530209169</v>
      </c>
      <c r="FK25" s="488">
        <v>170</v>
      </c>
      <c r="FL25" s="488">
        <v>0</v>
      </c>
      <c r="FM25" s="488">
        <v>170</v>
      </c>
    </row>
    <row r="26" spans="1:169" s="488" customFormat="1" x14ac:dyDescent="0.2">
      <c r="A26" s="489" t="s">
        <v>8</v>
      </c>
      <c r="B26" s="489" t="s">
        <v>814</v>
      </c>
      <c r="C26" s="489">
        <v>2005</v>
      </c>
      <c r="D26" s="488" t="s">
        <v>169</v>
      </c>
      <c r="E26" s="490"/>
      <c r="F26" s="490"/>
      <c r="G26" s="490"/>
      <c r="H26" s="490"/>
      <c r="I26" s="490"/>
      <c r="J26" s="490"/>
      <c r="K26" s="490"/>
      <c r="L26" s="490"/>
      <c r="M26" s="490"/>
      <c r="N26" s="528">
        <v>144</v>
      </c>
      <c r="O26" s="529">
        <v>224.5248</v>
      </c>
      <c r="P26" s="530">
        <v>369979.65054835618</v>
      </c>
      <c r="Q26" s="528">
        <v>83</v>
      </c>
      <c r="R26" s="529">
        <v>123.42100000000001</v>
      </c>
      <c r="S26" s="530">
        <v>203377.34829439185</v>
      </c>
      <c r="T26" s="531">
        <v>44</v>
      </c>
      <c r="U26" s="529">
        <v>77.616</v>
      </c>
      <c r="V26" s="530">
        <v>127898.30146585684</v>
      </c>
      <c r="W26" s="491"/>
      <c r="X26" s="532">
        <v>0</v>
      </c>
      <c r="Y26" s="530">
        <v>0</v>
      </c>
      <c r="Z26" s="555">
        <v>271</v>
      </c>
      <c r="AA26" s="556">
        <v>425.56180000000001</v>
      </c>
      <c r="AB26" s="530">
        <v>701256</v>
      </c>
      <c r="AC26" s="490"/>
      <c r="AD26" s="490"/>
      <c r="AE26" s="490"/>
      <c r="AF26" s="490"/>
      <c r="AG26" s="490"/>
      <c r="AH26" s="490"/>
      <c r="AI26" s="554">
        <v>0</v>
      </c>
      <c r="AJ26" s="530">
        <v>0</v>
      </c>
      <c r="AK26" s="530">
        <v>0</v>
      </c>
      <c r="AL26" s="530">
        <v>5500.49</v>
      </c>
      <c r="AM26" s="534"/>
      <c r="AN26" s="530">
        <v>0</v>
      </c>
      <c r="AO26" s="535">
        <v>58.35</v>
      </c>
      <c r="AP26" s="530">
        <v>2245.0196470289243</v>
      </c>
      <c r="AQ26" s="536">
        <v>2</v>
      </c>
      <c r="AR26" s="530">
        <v>22680.611130037629</v>
      </c>
      <c r="AS26" s="490"/>
      <c r="AT26" s="536">
        <v>0</v>
      </c>
      <c r="AU26" s="536">
        <v>0</v>
      </c>
      <c r="AV26" s="537">
        <v>0</v>
      </c>
      <c r="AW26" s="538">
        <v>0</v>
      </c>
      <c r="AX26" s="539"/>
      <c r="AY26" s="535">
        <v>0</v>
      </c>
      <c r="AZ26" s="540"/>
      <c r="BA26" s="499"/>
      <c r="BB26" s="528">
        <v>12</v>
      </c>
      <c r="BC26" s="528">
        <v>9140.7715133531146</v>
      </c>
      <c r="BD26" s="528">
        <v>19</v>
      </c>
      <c r="BE26" s="538">
        <v>6208.8949405619987</v>
      </c>
      <c r="BF26" s="535">
        <v>261</v>
      </c>
      <c r="BG26" s="535">
        <v>94</v>
      </c>
      <c r="BH26" s="535">
        <v>277</v>
      </c>
      <c r="BI26" s="535">
        <v>103</v>
      </c>
      <c r="BJ26" s="536">
        <v>271</v>
      </c>
      <c r="BK26" s="536">
        <v>108</v>
      </c>
      <c r="BL26" s="541">
        <v>269.67</v>
      </c>
      <c r="BM26" s="541">
        <v>101.67</v>
      </c>
      <c r="BN26" s="542">
        <v>37.700000000000003</v>
      </c>
      <c r="BO26" s="529">
        <v>102.17</v>
      </c>
      <c r="BP26" s="528">
        <v>150671.6737881742</v>
      </c>
      <c r="BQ26" s="536">
        <v>40</v>
      </c>
      <c r="BR26" s="530">
        <v>8038.86</v>
      </c>
      <c r="BS26" s="536">
        <v>28</v>
      </c>
      <c r="BT26" s="530">
        <v>5658.3872842352512</v>
      </c>
      <c r="BU26" s="530">
        <v>420</v>
      </c>
      <c r="BV26" s="530">
        <v>95500.201136860516</v>
      </c>
      <c r="BW26" s="536">
        <v>8</v>
      </c>
      <c r="BX26" s="530">
        <v>6848.9393980209397</v>
      </c>
      <c r="BY26" s="500"/>
      <c r="BZ26" s="282"/>
      <c r="CA26" s="282"/>
      <c r="CB26" s="490"/>
      <c r="CC26" s="490"/>
      <c r="CD26" s="490"/>
      <c r="CE26" s="282"/>
      <c r="CF26" s="490"/>
      <c r="CG26" s="543">
        <v>271</v>
      </c>
      <c r="CH26" s="532" t="e">
        <v>#DIV/0!</v>
      </c>
      <c r="CI26" s="532" t="e">
        <v>#DIV/0!</v>
      </c>
      <c r="CJ26" s="544"/>
      <c r="CK26" s="490"/>
      <c r="CL26" s="545">
        <v>2897.12</v>
      </c>
      <c r="CM26" s="546">
        <v>2</v>
      </c>
      <c r="CN26" s="532">
        <v>5794.24</v>
      </c>
      <c r="CO26" s="530">
        <v>8293.5400000000009</v>
      </c>
      <c r="CP26" s="490"/>
      <c r="CQ26" s="490"/>
      <c r="CR26" s="490"/>
      <c r="CS26" s="490"/>
      <c r="CT26" s="490"/>
      <c r="CU26" s="490"/>
      <c r="CV26" s="490"/>
      <c r="CW26" s="490"/>
      <c r="CX26" s="490"/>
      <c r="CY26" s="547"/>
      <c r="CZ26" s="530">
        <v>0</v>
      </c>
      <c r="DA26" s="506">
        <v>14427</v>
      </c>
      <c r="DB26" s="548"/>
      <c r="DC26" s="537">
        <v>0</v>
      </c>
      <c r="DD26" s="530">
        <v>0</v>
      </c>
      <c r="DE26" s="490"/>
      <c r="DF26" s="529">
        <v>1</v>
      </c>
      <c r="DG26" s="549">
        <v>70073.495851086889</v>
      </c>
      <c r="DH26" s="550"/>
      <c r="DI26" s="530">
        <v>0</v>
      </c>
      <c r="DJ26" s="551"/>
      <c r="DK26" s="552"/>
      <c r="DL26" s="282"/>
      <c r="DM26" s="490"/>
      <c r="DN26" s="509"/>
      <c r="DO26" s="553">
        <v>0</v>
      </c>
      <c r="DP26" s="530">
        <v>0</v>
      </c>
      <c r="DQ26" s="282"/>
      <c r="DR26" s="510"/>
      <c r="DS26" s="282"/>
      <c r="DT26" s="541">
        <v>0</v>
      </c>
      <c r="DU26" s="541">
        <v>0</v>
      </c>
      <c r="DV26" s="490"/>
      <c r="DW26" s="490"/>
      <c r="DX26" s="511"/>
      <c r="DY26" s="512">
        <v>0</v>
      </c>
      <c r="DZ26" s="513">
        <v>1106543.8846893592</v>
      </c>
      <c r="EA26" s="513">
        <v>0</v>
      </c>
      <c r="EB26" s="514">
        <v>0</v>
      </c>
      <c r="EC26" s="514">
        <v>0</v>
      </c>
      <c r="ED26" s="514">
        <v>0</v>
      </c>
      <c r="EE26" s="494"/>
      <c r="EF26" s="513">
        <v>1106543.8846893592</v>
      </c>
      <c r="EG26" s="513">
        <v>1092116.8846893592</v>
      </c>
      <c r="EH26" s="515">
        <v>271</v>
      </c>
      <c r="EI26" s="516">
        <v>11366.799972100303</v>
      </c>
      <c r="EJ26" s="517"/>
      <c r="EL26" s="518"/>
      <c r="EM26" s="518">
        <v>1106543.8846893592</v>
      </c>
      <c r="EN26" s="518">
        <v>0</v>
      </c>
      <c r="EO26" s="518">
        <v>0</v>
      </c>
      <c r="EP26" s="518">
        <v>0</v>
      </c>
      <c r="EQ26" s="518">
        <v>0</v>
      </c>
      <c r="ER26" s="518">
        <v>0</v>
      </c>
      <c r="ES26" s="518">
        <v>0</v>
      </c>
      <c r="ET26" s="518">
        <v>0</v>
      </c>
      <c r="EU26" s="518">
        <v>0</v>
      </c>
      <c r="EV26" s="518">
        <v>0</v>
      </c>
      <c r="EW26" s="518">
        <v>0</v>
      </c>
      <c r="EX26" s="518">
        <v>-22680.611130037629</v>
      </c>
      <c r="EY26" s="518">
        <v>0</v>
      </c>
      <c r="EZ26" s="518">
        <v>1083863.2735593216</v>
      </c>
      <c r="FB26" s="518">
        <v>0</v>
      </c>
      <c r="FC26" s="518">
        <v>0</v>
      </c>
      <c r="FF26" s="518">
        <v>971456.44583640876</v>
      </c>
      <c r="FI26" s="488">
        <v>4014.30842059008</v>
      </c>
      <c r="FK26" s="488">
        <v>270</v>
      </c>
      <c r="FL26" s="488">
        <v>0</v>
      </c>
      <c r="FM26" s="488">
        <v>270</v>
      </c>
    </row>
    <row r="27" spans="1:169" s="488" customFormat="1" x14ac:dyDescent="0.2">
      <c r="A27" s="557" t="s">
        <v>9</v>
      </c>
      <c r="B27" s="489" t="s">
        <v>815</v>
      </c>
      <c r="C27" s="489">
        <v>2464</v>
      </c>
      <c r="D27" s="488" t="s">
        <v>169</v>
      </c>
      <c r="E27" s="490"/>
      <c r="F27" s="490"/>
      <c r="G27" s="490"/>
      <c r="H27" s="490"/>
      <c r="I27" s="490"/>
      <c r="J27" s="490"/>
      <c r="K27" s="490"/>
      <c r="L27" s="490"/>
      <c r="M27" s="490"/>
      <c r="N27" s="528">
        <v>90</v>
      </c>
      <c r="O27" s="529">
        <v>140.328</v>
      </c>
      <c r="P27" s="530">
        <v>231237.2815927226</v>
      </c>
      <c r="Q27" s="528">
        <v>49</v>
      </c>
      <c r="R27" s="529">
        <v>72.863</v>
      </c>
      <c r="S27" s="530">
        <v>120066.14537861687</v>
      </c>
      <c r="T27" s="531">
        <v>30</v>
      </c>
      <c r="U27" s="529">
        <v>52.92</v>
      </c>
      <c r="V27" s="530">
        <v>87203.387363084214</v>
      </c>
      <c r="W27" s="491"/>
      <c r="X27" s="532">
        <v>0</v>
      </c>
      <c r="Y27" s="530">
        <v>0</v>
      </c>
      <c r="Z27" s="529">
        <v>169</v>
      </c>
      <c r="AA27" s="532">
        <v>266.11099999999999</v>
      </c>
      <c r="AB27" s="530">
        <v>438506</v>
      </c>
      <c r="AC27" s="490"/>
      <c r="AD27" s="490"/>
      <c r="AE27" s="490"/>
      <c r="AF27" s="490"/>
      <c r="AG27" s="490"/>
      <c r="AH27" s="490"/>
      <c r="AI27" s="533"/>
      <c r="AJ27" s="530">
        <v>0</v>
      </c>
      <c r="AK27" s="530">
        <v>0</v>
      </c>
      <c r="AL27" s="530">
        <v>3430.19</v>
      </c>
      <c r="AM27" s="534"/>
      <c r="AN27" s="530">
        <v>0</v>
      </c>
      <c r="AO27" s="535">
        <v>77</v>
      </c>
      <c r="AP27" s="530">
        <v>2962.5794827973805</v>
      </c>
      <c r="AQ27" s="536">
        <v>1</v>
      </c>
      <c r="AR27" s="530">
        <v>11340.305565018814</v>
      </c>
      <c r="AS27" s="490"/>
      <c r="AT27" s="536">
        <v>0</v>
      </c>
      <c r="AU27" s="536">
        <v>0</v>
      </c>
      <c r="AV27" s="537">
        <v>0</v>
      </c>
      <c r="AW27" s="538">
        <v>0</v>
      </c>
      <c r="AX27" s="539"/>
      <c r="AY27" s="535">
        <v>0</v>
      </c>
      <c r="AZ27" s="540"/>
      <c r="BA27" s="499"/>
      <c r="BB27" s="528">
        <v>4</v>
      </c>
      <c r="BC27" s="528">
        <v>3046.9238377843717</v>
      </c>
      <c r="BD27" s="528">
        <v>11</v>
      </c>
      <c r="BE27" s="538">
        <v>3594.6233866411571</v>
      </c>
      <c r="BF27" s="535">
        <v>162</v>
      </c>
      <c r="BG27" s="535">
        <v>47</v>
      </c>
      <c r="BH27" s="535">
        <v>158</v>
      </c>
      <c r="BI27" s="535">
        <v>39</v>
      </c>
      <c r="BJ27" s="536">
        <v>169</v>
      </c>
      <c r="BK27" s="536">
        <v>45</v>
      </c>
      <c r="BL27" s="541">
        <v>163</v>
      </c>
      <c r="BM27" s="541">
        <v>43.67</v>
      </c>
      <c r="BN27" s="542">
        <v>26.79</v>
      </c>
      <c r="BO27" s="529">
        <v>45.28</v>
      </c>
      <c r="BP27" s="528">
        <v>66775.113919237818</v>
      </c>
      <c r="BQ27" s="536">
        <v>3</v>
      </c>
      <c r="BR27" s="530">
        <v>602.91</v>
      </c>
      <c r="BS27" s="536">
        <v>14</v>
      </c>
      <c r="BT27" s="530">
        <v>2829.1936421176256</v>
      </c>
      <c r="BU27" s="530">
        <v>106</v>
      </c>
      <c r="BV27" s="530">
        <v>24102.431715493367</v>
      </c>
      <c r="BW27" s="536">
        <v>17</v>
      </c>
      <c r="BX27" s="530">
        <v>14553.996220794497</v>
      </c>
      <c r="BY27" s="500"/>
      <c r="BZ27" s="282"/>
      <c r="CA27" s="282"/>
      <c r="CB27" s="490"/>
      <c r="CC27" s="490"/>
      <c r="CD27" s="490"/>
      <c r="CE27" s="282"/>
      <c r="CF27" s="490"/>
      <c r="CG27" s="543">
        <v>169</v>
      </c>
      <c r="CH27" s="532" t="e">
        <v>#DIV/0!</v>
      </c>
      <c r="CI27" s="532" t="e">
        <v>#DIV/0!</v>
      </c>
      <c r="CJ27" s="544"/>
      <c r="CK27" s="490"/>
      <c r="CL27" s="545">
        <v>2062.5507863589687</v>
      </c>
      <c r="CM27" s="546">
        <v>2</v>
      </c>
      <c r="CN27" s="532">
        <v>4125.1015727179374</v>
      </c>
      <c r="CO27" s="530">
        <v>5904.43</v>
      </c>
      <c r="CP27" s="490"/>
      <c r="CQ27" s="490"/>
      <c r="CR27" s="490"/>
      <c r="CS27" s="490"/>
      <c r="CT27" s="490"/>
      <c r="CU27" s="490"/>
      <c r="CV27" s="490"/>
      <c r="CW27" s="490"/>
      <c r="CX27" s="490"/>
      <c r="CY27" s="547"/>
      <c r="CZ27" s="530">
        <v>0</v>
      </c>
      <c r="DA27" s="506">
        <v>12137</v>
      </c>
      <c r="DB27" s="548"/>
      <c r="DC27" s="537">
        <v>0</v>
      </c>
      <c r="DD27" s="530">
        <v>0</v>
      </c>
      <c r="DE27" s="490"/>
      <c r="DF27" s="529">
        <v>1</v>
      </c>
      <c r="DG27" s="549">
        <v>74722.185859261808</v>
      </c>
      <c r="DH27" s="550"/>
      <c r="DI27" s="530">
        <v>0</v>
      </c>
      <c r="DJ27" s="551"/>
      <c r="DK27" s="552"/>
      <c r="DL27" s="282"/>
      <c r="DM27" s="490"/>
      <c r="DN27" s="509"/>
      <c r="DO27" s="553">
        <v>0</v>
      </c>
      <c r="DP27" s="530">
        <v>0</v>
      </c>
      <c r="DQ27" s="282"/>
      <c r="DR27" s="510"/>
      <c r="DS27" s="282"/>
      <c r="DT27" s="541">
        <v>0</v>
      </c>
      <c r="DU27" s="541">
        <v>0</v>
      </c>
      <c r="DV27" s="490"/>
      <c r="DW27" s="490"/>
      <c r="DX27" s="511">
        <v>88842.456000000006</v>
      </c>
      <c r="DY27" s="512">
        <v>0</v>
      </c>
      <c r="DZ27" s="513">
        <v>753350.33962914685</v>
      </c>
      <c r="EA27" s="513">
        <v>56501.791736711632</v>
      </c>
      <c r="EB27" s="514">
        <v>0</v>
      </c>
      <c r="EC27" s="514">
        <v>0</v>
      </c>
      <c r="ED27" s="514">
        <v>-9654.2710156044486</v>
      </c>
      <c r="EE27" s="494"/>
      <c r="EF27" s="513">
        <v>800197.86035025399</v>
      </c>
      <c r="EG27" s="513">
        <v>788060.86035025399</v>
      </c>
      <c r="EH27" s="515">
        <v>169</v>
      </c>
      <c r="EI27" s="516">
        <v>7088.5210158116279</v>
      </c>
      <c r="EJ27" s="517"/>
      <c r="EL27" s="518"/>
      <c r="EM27" s="518">
        <v>800197.86035025399</v>
      </c>
      <c r="EN27" s="518">
        <v>-88842.456000000006</v>
      </c>
      <c r="EO27" s="518">
        <v>9654.2710156044486</v>
      </c>
      <c r="EP27" s="518">
        <v>-7475.3491958855375</v>
      </c>
      <c r="EQ27" s="518">
        <v>0</v>
      </c>
      <c r="ER27" s="518">
        <v>0</v>
      </c>
      <c r="ES27" s="518">
        <v>0</v>
      </c>
      <c r="ET27" s="518">
        <v>0</v>
      </c>
      <c r="EU27" s="518">
        <v>0</v>
      </c>
      <c r="EV27" s="518">
        <v>0</v>
      </c>
      <c r="EW27" s="518">
        <v>0</v>
      </c>
      <c r="EX27" s="518">
        <v>-11340.305565018814</v>
      </c>
      <c r="EY27" s="518">
        <v>0</v>
      </c>
      <c r="EZ27" s="518">
        <v>702194.0206049541</v>
      </c>
      <c r="FB27" s="518">
        <v>86663.534180281102</v>
      </c>
      <c r="FC27" s="518">
        <v>0</v>
      </c>
      <c r="FF27" s="518">
        <v>547587.37569331005</v>
      </c>
      <c r="FI27" s="488">
        <v>4154.994204763042</v>
      </c>
      <c r="FK27" s="488">
        <v>169</v>
      </c>
      <c r="FL27" s="488">
        <v>0</v>
      </c>
      <c r="FM27" s="488">
        <v>169</v>
      </c>
    </row>
    <row r="28" spans="1:169" s="488" customFormat="1" x14ac:dyDescent="0.2">
      <c r="A28" s="489" t="s">
        <v>10</v>
      </c>
      <c r="B28" s="489" t="s">
        <v>816</v>
      </c>
      <c r="C28" s="489">
        <v>2004</v>
      </c>
      <c r="D28" s="488" t="s">
        <v>169</v>
      </c>
      <c r="E28" s="490"/>
      <c r="F28" s="490"/>
      <c r="G28" s="490"/>
      <c r="H28" s="490"/>
      <c r="I28" s="490"/>
      <c r="J28" s="490"/>
      <c r="K28" s="490"/>
      <c r="L28" s="490"/>
      <c r="M28" s="490"/>
      <c r="N28" s="528">
        <v>123</v>
      </c>
      <c r="O28" s="529">
        <v>191.7816</v>
      </c>
      <c r="P28" s="530">
        <v>316024.28484338755</v>
      </c>
      <c r="Q28" s="528">
        <v>72</v>
      </c>
      <c r="R28" s="529">
        <v>107.06400000000001</v>
      </c>
      <c r="S28" s="530">
        <v>176423.72382164112</v>
      </c>
      <c r="T28" s="531">
        <v>44</v>
      </c>
      <c r="U28" s="529">
        <v>77.616</v>
      </c>
      <c r="V28" s="530">
        <v>127898.30146585684</v>
      </c>
      <c r="W28" s="491"/>
      <c r="X28" s="532">
        <v>0</v>
      </c>
      <c r="Y28" s="530">
        <v>0</v>
      </c>
      <c r="Z28" s="529">
        <v>239</v>
      </c>
      <c r="AA28" s="532">
        <v>376.46159999999998</v>
      </c>
      <c r="AB28" s="530">
        <v>620347</v>
      </c>
      <c r="AC28" s="490"/>
      <c r="AD28" s="490"/>
      <c r="AE28" s="490"/>
      <c r="AF28" s="490"/>
      <c r="AG28" s="490"/>
      <c r="AH28" s="490"/>
      <c r="AI28" s="554">
        <v>0</v>
      </c>
      <c r="AJ28" s="530">
        <v>0</v>
      </c>
      <c r="AK28" s="530">
        <v>0</v>
      </c>
      <c r="AL28" s="530">
        <v>4850.9799999999996</v>
      </c>
      <c r="AM28" s="534"/>
      <c r="AN28" s="530">
        <v>0</v>
      </c>
      <c r="AO28" s="535">
        <v>38.700000000000003</v>
      </c>
      <c r="AP28" s="530">
        <v>1488.9847530423201</v>
      </c>
      <c r="AQ28" s="536">
        <v>2</v>
      </c>
      <c r="AR28" s="530">
        <v>22680.611130037629</v>
      </c>
      <c r="AS28" s="490"/>
      <c r="AT28" s="536">
        <v>0</v>
      </c>
      <c r="AU28" s="536">
        <v>0</v>
      </c>
      <c r="AV28" s="537">
        <v>0</v>
      </c>
      <c r="AW28" s="538">
        <v>0</v>
      </c>
      <c r="AX28" s="539"/>
      <c r="AY28" s="535">
        <v>0</v>
      </c>
      <c r="AZ28" s="540"/>
      <c r="BA28" s="499"/>
      <c r="BB28" s="528">
        <v>11</v>
      </c>
      <c r="BC28" s="528">
        <v>8379.0405539070216</v>
      </c>
      <c r="BD28" s="528">
        <v>23</v>
      </c>
      <c r="BE28" s="538">
        <v>7516.0307175224198</v>
      </c>
      <c r="BF28" s="535">
        <v>230</v>
      </c>
      <c r="BG28" s="535">
        <v>115</v>
      </c>
      <c r="BH28" s="535">
        <v>242</v>
      </c>
      <c r="BI28" s="535">
        <v>130</v>
      </c>
      <c r="BJ28" s="536">
        <v>239</v>
      </c>
      <c r="BK28" s="536">
        <v>112</v>
      </c>
      <c r="BL28" s="541">
        <v>237</v>
      </c>
      <c r="BM28" s="541">
        <v>119</v>
      </c>
      <c r="BN28" s="542">
        <v>50.21</v>
      </c>
      <c r="BO28" s="529">
        <v>120</v>
      </c>
      <c r="BP28" s="528">
        <v>176965.84960928748</v>
      </c>
      <c r="BQ28" s="536">
        <v>7</v>
      </c>
      <c r="BR28" s="530">
        <v>1406.8</v>
      </c>
      <c r="BS28" s="536">
        <v>14</v>
      </c>
      <c r="BT28" s="530">
        <v>2829.1936421176256</v>
      </c>
      <c r="BU28" s="530">
        <v>602</v>
      </c>
      <c r="BV28" s="530">
        <v>136883.62162950006</v>
      </c>
      <c r="BW28" s="536">
        <v>20</v>
      </c>
      <c r="BX28" s="530">
        <v>17122.348495052349</v>
      </c>
      <c r="BY28" s="500"/>
      <c r="BZ28" s="282"/>
      <c r="CA28" s="282"/>
      <c r="CB28" s="490"/>
      <c r="CC28" s="490"/>
      <c r="CD28" s="490"/>
      <c r="CE28" s="282"/>
      <c r="CF28" s="490"/>
      <c r="CG28" s="543">
        <v>239</v>
      </c>
      <c r="CH28" s="532" t="e">
        <v>#DIV/0!</v>
      </c>
      <c r="CI28" s="532" t="e">
        <v>#DIV/0!</v>
      </c>
      <c r="CJ28" s="544"/>
      <c r="CK28" s="490"/>
      <c r="CL28" s="545">
        <v>3097.6832288760652</v>
      </c>
      <c r="CM28" s="546">
        <v>4</v>
      </c>
      <c r="CN28" s="532">
        <v>12390.732915504261</v>
      </c>
      <c r="CO28" s="530">
        <v>17735.38</v>
      </c>
      <c r="CP28" s="490"/>
      <c r="CQ28" s="490"/>
      <c r="CR28" s="490"/>
      <c r="CS28" s="490"/>
      <c r="CT28" s="490"/>
      <c r="CU28" s="490"/>
      <c r="CV28" s="490"/>
      <c r="CW28" s="490"/>
      <c r="CX28" s="490"/>
      <c r="CY28" s="547"/>
      <c r="CZ28" s="530">
        <v>0</v>
      </c>
      <c r="DA28" s="506">
        <v>14427</v>
      </c>
      <c r="DB28" s="548"/>
      <c r="DC28" s="537">
        <v>0</v>
      </c>
      <c r="DD28" s="530">
        <v>0</v>
      </c>
      <c r="DE28" s="490"/>
      <c r="DF28" s="529">
        <v>1</v>
      </c>
      <c r="DG28" s="549">
        <v>70073.495851086889</v>
      </c>
      <c r="DH28" s="550"/>
      <c r="DI28" s="530">
        <v>0</v>
      </c>
      <c r="DJ28" s="551"/>
      <c r="DK28" s="552"/>
      <c r="DL28" s="282"/>
      <c r="DM28" s="490"/>
      <c r="DN28" s="509"/>
      <c r="DO28" s="553">
        <v>0</v>
      </c>
      <c r="DP28" s="530">
        <v>0</v>
      </c>
      <c r="DQ28" s="282"/>
      <c r="DR28" s="510"/>
      <c r="DS28" s="282"/>
      <c r="DT28" s="541">
        <v>0</v>
      </c>
      <c r="DU28" s="541">
        <v>0</v>
      </c>
      <c r="DV28" s="490"/>
      <c r="DW28" s="490"/>
      <c r="DX28" s="511">
        <v>141349.29740000001</v>
      </c>
      <c r="DY28" s="512">
        <v>0</v>
      </c>
      <c r="DZ28" s="513">
        <v>1244055.6337815537</v>
      </c>
      <c r="EA28" s="513">
        <v>131618.87808295595</v>
      </c>
      <c r="EB28" s="514">
        <v>0</v>
      </c>
      <c r="EC28" s="514">
        <v>0</v>
      </c>
      <c r="ED28" s="514">
        <v>2150.1065999999992</v>
      </c>
      <c r="EE28" s="494"/>
      <c r="EF28" s="513">
        <v>1377824.6184645097</v>
      </c>
      <c r="EG28" s="513">
        <v>1363397.6184645097</v>
      </c>
      <c r="EH28" s="515">
        <v>239</v>
      </c>
      <c r="EI28" s="516">
        <v>10024.594809343072</v>
      </c>
      <c r="EJ28" s="517"/>
      <c r="EL28" s="518"/>
      <c r="EM28" s="518">
        <v>1377824.6184645097</v>
      </c>
      <c r="EN28" s="518">
        <v>-141349.29740000001</v>
      </c>
      <c r="EO28" s="518">
        <v>-2150.1065999999992</v>
      </c>
      <c r="EP28" s="518">
        <v>-17413.710242794114</v>
      </c>
      <c r="EQ28" s="518">
        <v>0</v>
      </c>
      <c r="ER28" s="518">
        <v>0</v>
      </c>
      <c r="ES28" s="518">
        <v>0</v>
      </c>
      <c r="ET28" s="518">
        <v>0</v>
      </c>
      <c r="EU28" s="518">
        <v>0</v>
      </c>
      <c r="EV28" s="518">
        <v>0</v>
      </c>
      <c r="EW28" s="518">
        <v>0</v>
      </c>
      <c r="EX28" s="518">
        <v>-22680.611130037629</v>
      </c>
      <c r="EY28" s="518">
        <v>0</v>
      </c>
      <c r="EZ28" s="518">
        <v>1194230.8930916779</v>
      </c>
      <c r="FB28" s="518">
        <v>160913.11424279411</v>
      </c>
      <c r="FC28" s="518">
        <v>0</v>
      </c>
      <c r="FF28" s="518">
        <v>961104.66028774693</v>
      </c>
      <c r="FI28" s="488">
        <v>4914.5304242455877</v>
      </c>
      <c r="FK28" s="488">
        <v>243</v>
      </c>
      <c r="FL28" s="488">
        <v>0</v>
      </c>
      <c r="FM28" s="488">
        <v>243</v>
      </c>
    </row>
    <row r="29" spans="1:169" s="488" customFormat="1" x14ac:dyDescent="0.2">
      <c r="A29" s="489" t="s">
        <v>11</v>
      </c>
      <c r="B29" s="489" t="s">
        <v>817</v>
      </c>
      <c r="C29" s="489">
        <v>2405</v>
      </c>
      <c r="D29" s="488" t="s">
        <v>169</v>
      </c>
      <c r="E29" s="490"/>
      <c r="F29" s="490"/>
      <c r="G29" s="490"/>
      <c r="H29" s="490"/>
      <c r="I29" s="490"/>
      <c r="J29" s="490"/>
      <c r="K29" s="490"/>
      <c r="L29" s="490"/>
      <c r="M29" s="490"/>
      <c r="N29" s="528">
        <v>96</v>
      </c>
      <c r="O29" s="529">
        <v>149.6832</v>
      </c>
      <c r="P29" s="530">
        <v>246653.10036557078</v>
      </c>
      <c r="Q29" s="528">
        <v>57</v>
      </c>
      <c r="R29" s="529">
        <v>84.759</v>
      </c>
      <c r="S29" s="530">
        <v>139668.7813587992</v>
      </c>
      <c r="T29" s="531">
        <v>30</v>
      </c>
      <c r="U29" s="529">
        <v>52.92</v>
      </c>
      <c r="V29" s="530">
        <v>87203.387363084214</v>
      </c>
      <c r="W29" s="491"/>
      <c r="X29" s="532">
        <v>0</v>
      </c>
      <c r="Y29" s="530">
        <v>0</v>
      </c>
      <c r="Z29" s="529">
        <v>183</v>
      </c>
      <c r="AA29" s="532">
        <v>287.36220000000003</v>
      </c>
      <c r="AB29" s="530">
        <v>473525</v>
      </c>
      <c r="AC29" s="490"/>
      <c r="AD29" s="490"/>
      <c r="AE29" s="490"/>
      <c r="AF29" s="490"/>
      <c r="AG29" s="490"/>
      <c r="AH29" s="490"/>
      <c r="AI29" s="554">
        <v>100923.30180935774</v>
      </c>
      <c r="AJ29" s="530">
        <v>0</v>
      </c>
      <c r="AK29" s="530">
        <v>0</v>
      </c>
      <c r="AL29" s="530">
        <v>3714.35</v>
      </c>
      <c r="AM29" s="534"/>
      <c r="AN29" s="530">
        <v>0</v>
      </c>
      <c r="AO29" s="535">
        <v>39.200000000000003</v>
      </c>
      <c r="AP29" s="530">
        <v>1508.222282151394</v>
      </c>
      <c r="AQ29" s="536">
        <v>1</v>
      </c>
      <c r="AR29" s="530">
        <v>11340.305565018814</v>
      </c>
      <c r="AS29" s="490"/>
      <c r="AT29" s="536">
        <v>37.5</v>
      </c>
      <c r="AU29" s="536">
        <v>37.5</v>
      </c>
      <c r="AV29" s="537">
        <v>37.5</v>
      </c>
      <c r="AW29" s="538">
        <v>22524.290632655837</v>
      </c>
      <c r="AX29" s="539"/>
      <c r="AY29" s="535">
        <v>0</v>
      </c>
      <c r="AZ29" s="540"/>
      <c r="BA29" s="499"/>
      <c r="BB29" s="528">
        <v>14</v>
      </c>
      <c r="BC29" s="528">
        <v>10664.233432245301</v>
      </c>
      <c r="BD29" s="528">
        <v>24</v>
      </c>
      <c r="BE29" s="538">
        <v>7842.8146617625243</v>
      </c>
      <c r="BF29" s="535">
        <v>185</v>
      </c>
      <c r="BG29" s="535">
        <v>90</v>
      </c>
      <c r="BH29" s="535">
        <v>174</v>
      </c>
      <c r="BI29" s="535">
        <v>81</v>
      </c>
      <c r="BJ29" s="536">
        <v>183</v>
      </c>
      <c r="BK29" s="536">
        <v>80</v>
      </c>
      <c r="BL29" s="541">
        <v>180.67</v>
      </c>
      <c r="BM29" s="541">
        <v>83.67</v>
      </c>
      <c r="BN29" s="542">
        <v>46.31</v>
      </c>
      <c r="BO29" s="529">
        <v>84.75</v>
      </c>
      <c r="BP29" s="528">
        <v>124982.13128655929</v>
      </c>
      <c r="BQ29" s="536">
        <v>34</v>
      </c>
      <c r="BR29" s="530">
        <v>6833.03</v>
      </c>
      <c r="BS29" s="536">
        <v>27</v>
      </c>
      <c r="BT29" s="530">
        <v>5456.3020240839924</v>
      </c>
      <c r="BU29" s="530">
        <v>376</v>
      </c>
      <c r="BV29" s="530">
        <v>85495.418160617977</v>
      </c>
      <c r="BW29" s="536">
        <v>17</v>
      </c>
      <c r="BX29" s="530">
        <v>14553.996220794497</v>
      </c>
      <c r="BY29" s="500"/>
      <c r="BZ29" s="282"/>
      <c r="CA29" s="282"/>
      <c r="CB29" s="490"/>
      <c r="CC29" s="490"/>
      <c r="CD29" s="490"/>
      <c r="CE29" s="282"/>
      <c r="CF29" s="490"/>
      <c r="CG29" s="543">
        <v>183</v>
      </c>
      <c r="CH29" s="532" t="e">
        <v>#DIV/0!</v>
      </c>
      <c r="CI29" s="532" t="e">
        <v>#DIV/0!</v>
      </c>
      <c r="CJ29" s="544"/>
      <c r="CK29" s="490"/>
      <c r="CL29" s="545">
        <v>1505.9593122337189</v>
      </c>
      <c r="CM29" s="546">
        <v>2</v>
      </c>
      <c r="CN29" s="532">
        <v>3011.9186244674379</v>
      </c>
      <c r="CO29" s="530">
        <v>4311.09</v>
      </c>
      <c r="CP29" s="490"/>
      <c r="CQ29" s="490"/>
      <c r="CR29" s="490"/>
      <c r="CS29" s="490"/>
      <c r="CT29" s="490"/>
      <c r="CU29" s="490"/>
      <c r="CV29" s="490"/>
      <c r="CW29" s="490"/>
      <c r="CX29" s="490"/>
      <c r="CY29" s="547"/>
      <c r="CZ29" s="530">
        <v>0</v>
      </c>
      <c r="DA29" s="506">
        <v>12595</v>
      </c>
      <c r="DB29" s="548"/>
      <c r="DC29" s="537">
        <v>0</v>
      </c>
      <c r="DD29" s="530">
        <v>0</v>
      </c>
      <c r="DE29" s="490"/>
      <c r="DF29" s="529">
        <v>1</v>
      </c>
      <c r="DG29" s="549">
        <v>70073.495851086889</v>
      </c>
      <c r="DH29" s="550"/>
      <c r="DI29" s="530">
        <v>0</v>
      </c>
      <c r="DJ29" s="551"/>
      <c r="DK29" s="552"/>
      <c r="DL29" s="282"/>
      <c r="DM29" s="490"/>
      <c r="DN29" s="509"/>
      <c r="DO29" s="553">
        <v>0</v>
      </c>
      <c r="DP29" s="530">
        <v>0</v>
      </c>
      <c r="DQ29" s="282"/>
      <c r="DR29" s="510"/>
      <c r="DS29" s="282"/>
      <c r="DT29" s="541">
        <v>0</v>
      </c>
      <c r="DU29" s="541">
        <v>0</v>
      </c>
      <c r="DV29" s="490"/>
      <c r="DW29" s="490"/>
      <c r="DX29" s="511">
        <v>96931.113400000002</v>
      </c>
      <c r="DY29" s="512">
        <v>0</v>
      </c>
      <c r="DZ29" s="513">
        <v>1053274.0953263342</v>
      </c>
      <c r="EA29" s="513">
        <v>11367.63220066228</v>
      </c>
      <c r="EB29" s="514">
        <v>9260</v>
      </c>
      <c r="EC29" s="514">
        <v>0</v>
      </c>
      <c r="ED29" s="514">
        <v>-12455.373399999997</v>
      </c>
      <c r="EE29" s="494"/>
      <c r="EF29" s="513">
        <v>1061446.3541269966</v>
      </c>
      <c r="EG29" s="513">
        <v>1048851.3541269966</v>
      </c>
      <c r="EH29" s="515">
        <v>183</v>
      </c>
      <c r="EI29" s="516">
        <v>7675.735774517917</v>
      </c>
      <c r="EJ29" s="517"/>
      <c r="EL29" s="518"/>
      <c r="EM29" s="518">
        <v>1061446.3541269966</v>
      </c>
      <c r="EN29" s="518">
        <v>-96931.113400000002</v>
      </c>
      <c r="EO29" s="518">
        <v>12455.373399999997</v>
      </c>
      <c r="EP29" s="518">
        <v>-1343.9820785019165</v>
      </c>
      <c r="EQ29" s="518">
        <v>-22524.290632655837</v>
      </c>
      <c r="ER29" s="518">
        <v>0</v>
      </c>
      <c r="ES29" s="518">
        <v>-9260</v>
      </c>
      <c r="ET29" s="518">
        <v>-100923.30180935774</v>
      </c>
      <c r="EU29" s="518">
        <v>0</v>
      </c>
      <c r="EV29" s="518">
        <v>0</v>
      </c>
      <c r="EW29" s="518">
        <v>0</v>
      </c>
      <c r="EX29" s="518">
        <v>-11340.305565018814</v>
      </c>
      <c r="EY29" s="518">
        <v>-9801.3179900911728</v>
      </c>
      <c r="EZ29" s="518">
        <v>821777.41605137114</v>
      </c>
      <c r="FB29" s="518">
        <v>85819.722078501916</v>
      </c>
      <c r="FC29" s="518">
        <v>-123447.59244201359</v>
      </c>
      <c r="FF29" s="518">
        <v>716053.80910021707</v>
      </c>
      <c r="FI29" s="488">
        <v>4616.7270564683768</v>
      </c>
      <c r="FK29" s="488">
        <v>182</v>
      </c>
      <c r="FL29" s="488">
        <v>4</v>
      </c>
      <c r="FM29" s="488">
        <v>178</v>
      </c>
    </row>
    <row r="30" spans="1:169" s="488" customFormat="1" x14ac:dyDescent="0.2">
      <c r="A30" s="489" t="s">
        <v>313</v>
      </c>
      <c r="B30" s="489" t="s">
        <v>818</v>
      </c>
      <c r="C30" s="489">
        <v>3525</v>
      </c>
      <c r="D30" s="488" t="s">
        <v>169</v>
      </c>
      <c r="E30" s="490"/>
      <c r="F30" s="490"/>
      <c r="G30" s="490"/>
      <c r="H30" s="490"/>
      <c r="I30" s="490"/>
      <c r="J30" s="490"/>
      <c r="K30" s="490"/>
      <c r="L30" s="490"/>
      <c r="M30" s="490"/>
      <c r="N30" s="528">
        <v>113</v>
      </c>
      <c r="O30" s="529">
        <v>176.18959999999998</v>
      </c>
      <c r="P30" s="530">
        <v>290331.25355530728</v>
      </c>
      <c r="Q30" s="528">
        <v>59</v>
      </c>
      <c r="R30" s="529">
        <v>87.733000000000004</v>
      </c>
      <c r="S30" s="530">
        <v>144569.44035384481</v>
      </c>
      <c r="T30" s="531">
        <v>30</v>
      </c>
      <c r="U30" s="529">
        <v>52.92</v>
      </c>
      <c r="V30" s="530">
        <v>87203.387363084214</v>
      </c>
      <c r="W30" s="491"/>
      <c r="X30" s="532">
        <v>0</v>
      </c>
      <c r="Y30" s="530">
        <v>0</v>
      </c>
      <c r="Z30" s="529">
        <v>202</v>
      </c>
      <c r="AA30" s="532">
        <v>316.8426</v>
      </c>
      <c r="AB30" s="530">
        <v>522104</v>
      </c>
      <c r="AC30" s="490"/>
      <c r="AD30" s="490"/>
      <c r="AE30" s="490"/>
      <c r="AF30" s="490"/>
      <c r="AG30" s="490"/>
      <c r="AH30" s="490"/>
      <c r="AI30" s="533"/>
      <c r="AJ30" s="530">
        <v>0</v>
      </c>
      <c r="AK30" s="530">
        <v>0</v>
      </c>
      <c r="AL30" s="530">
        <v>4099.99</v>
      </c>
      <c r="AM30" s="534"/>
      <c r="AN30" s="530">
        <v>0</v>
      </c>
      <c r="AO30" s="535">
        <v>65.900000000000006</v>
      </c>
      <c r="AP30" s="530">
        <v>2535.5063365759402</v>
      </c>
      <c r="AQ30" s="536">
        <v>1</v>
      </c>
      <c r="AR30" s="530">
        <v>11340.305565018814</v>
      </c>
      <c r="AS30" s="490"/>
      <c r="AT30" s="536">
        <v>30</v>
      </c>
      <c r="AU30" s="536">
        <v>20</v>
      </c>
      <c r="AV30" s="537">
        <v>24.166666666666668</v>
      </c>
      <c r="AW30" s="538">
        <v>14515.653963267096</v>
      </c>
      <c r="AX30" s="539"/>
      <c r="AY30" s="535">
        <v>0</v>
      </c>
      <c r="AZ30" s="540"/>
      <c r="BA30" s="499"/>
      <c r="BB30" s="528">
        <v>9</v>
      </c>
      <c r="BC30" s="528">
        <v>6855.5786350148364</v>
      </c>
      <c r="BD30" s="528">
        <v>16</v>
      </c>
      <c r="BE30" s="538">
        <v>5228.5431078416832</v>
      </c>
      <c r="BF30" s="535">
        <v>197</v>
      </c>
      <c r="BG30" s="535">
        <v>52</v>
      </c>
      <c r="BH30" s="535">
        <v>192</v>
      </c>
      <c r="BI30" s="535">
        <v>51</v>
      </c>
      <c r="BJ30" s="536">
        <v>202</v>
      </c>
      <c r="BK30" s="536">
        <v>46</v>
      </c>
      <c r="BL30" s="541">
        <v>197</v>
      </c>
      <c r="BM30" s="541">
        <v>49.67</v>
      </c>
      <c r="BN30" s="542">
        <v>25.21</v>
      </c>
      <c r="BO30" s="529">
        <v>50.92</v>
      </c>
      <c r="BP30" s="528">
        <v>75092.508850874321</v>
      </c>
      <c r="BQ30" s="536">
        <v>24</v>
      </c>
      <c r="BR30" s="530">
        <v>4823.3100000000004</v>
      </c>
      <c r="BS30" s="536">
        <v>55</v>
      </c>
      <c r="BT30" s="530">
        <v>11114.689308319244</v>
      </c>
      <c r="BU30" s="530">
        <v>280</v>
      </c>
      <c r="BV30" s="530">
        <v>63666.800757907011</v>
      </c>
      <c r="BW30" s="536">
        <v>8</v>
      </c>
      <c r="BX30" s="530">
        <v>6848.9393980209397</v>
      </c>
      <c r="BY30" s="500"/>
      <c r="BZ30" s="282"/>
      <c r="CA30" s="282"/>
      <c r="CB30" s="490"/>
      <c r="CC30" s="490"/>
      <c r="CD30" s="490"/>
      <c r="CE30" s="282"/>
      <c r="CF30" s="490"/>
      <c r="CG30" s="543">
        <v>202</v>
      </c>
      <c r="CH30" s="532" t="e">
        <v>#DIV/0!</v>
      </c>
      <c r="CI30" s="532" t="e">
        <v>#DIV/0!</v>
      </c>
      <c r="CJ30" s="544"/>
      <c r="CK30" s="490"/>
      <c r="CL30" s="545">
        <v>1255.4962084047791</v>
      </c>
      <c r="CM30" s="546">
        <v>1</v>
      </c>
      <c r="CN30" s="532">
        <v>1255.4962084047791</v>
      </c>
      <c r="CO30" s="530">
        <v>1797.04</v>
      </c>
      <c r="CP30" s="490"/>
      <c r="CQ30" s="490"/>
      <c r="CR30" s="490"/>
      <c r="CS30" s="490"/>
      <c r="CT30" s="490"/>
      <c r="CU30" s="490"/>
      <c r="CV30" s="490"/>
      <c r="CW30" s="490"/>
      <c r="CX30" s="490"/>
      <c r="CY30" s="547"/>
      <c r="CZ30" s="530">
        <v>0</v>
      </c>
      <c r="DA30" s="506">
        <v>4946.3999999999996</v>
      </c>
      <c r="DB30" s="548"/>
      <c r="DC30" s="537">
        <v>0</v>
      </c>
      <c r="DD30" s="530">
        <v>0</v>
      </c>
      <c r="DE30" s="490"/>
      <c r="DF30" s="529">
        <v>1</v>
      </c>
      <c r="DG30" s="549">
        <v>70073.495851086889</v>
      </c>
      <c r="DH30" s="550"/>
      <c r="DI30" s="530">
        <v>0</v>
      </c>
      <c r="DJ30" s="551"/>
      <c r="DK30" s="552"/>
      <c r="DL30" s="282"/>
      <c r="DM30" s="490"/>
      <c r="DN30" s="509"/>
      <c r="DO30" s="553">
        <v>1</v>
      </c>
      <c r="DP30" s="530">
        <v>697.62975539376976</v>
      </c>
      <c r="DQ30" s="282"/>
      <c r="DR30" s="510"/>
      <c r="DS30" s="282"/>
      <c r="DT30" s="541">
        <v>0</v>
      </c>
      <c r="DU30" s="541">
        <v>0</v>
      </c>
      <c r="DV30" s="490"/>
      <c r="DW30" s="490"/>
      <c r="DX30" s="511">
        <v>98090.083400000003</v>
      </c>
      <c r="DY30" s="512">
        <v>0</v>
      </c>
      <c r="DZ30" s="513">
        <v>903830.47492932063</v>
      </c>
      <c r="EA30" s="513">
        <v>13347.972446721629</v>
      </c>
      <c r="EB30" s="514">
        <v>8259</v>
      </c>
      <c r="EC30" s="514">
        <v>0</v>
      </c>
      <c r="ED30" s="514">
        <v>-2174.6742000000086</v>
      </c>
      <c r="EE30" s="494"/>
      <c r="EF30" s="513">
        <v>923262.77317604225</v>
      </c>
      <c r="EG30" s="513">
        <v>918316.37317604222</v>
      </c>
      <c r="EH30" s="515">
        <v>202</v>
      </c>
      <c r="EI30" s="516">
        <v>8472.6700899050229</v>
      </c>
      <c r="EJ30" s="517"/>
      <c r="EL30" s="518"/>
      <c r="EM30" s="518">
        <v>923262.77317604225</v>
      </c>
      <c r="EN30" s="518">
        <v>-98090.083400000003</v>
      </c>
      <c r="EO30" s="518">
        <v>2174.6742000000086</v>
      </c>
      <c r="EP30" s="518">
        <v>-1604.2241658873827</v>
      </c>
      <c r="EQ30" s="518">
        <v>-14515.653963267096</v>
      </c>
      <c r="ER30" s="518">
        <v>0</v>
      </c>
      <c r="ES30" s="518">
        <v>-8259</v>
      </c>
      <c r="ET30" s="518">
        <v>0</v>
      </c>
      <c r="EU30" s="518">
        <v>0</v>
      </c>
      <c r="EV30" s="518">
        <v>0</v>
      </c>
      <c r="EW30" s="518">
        <v>0</v>
      </c>
      <c r="EX30" s="518">
        <v>-11340.305565018814</v>
      </c>
      <c r="EY30" s="518">
        <v>0</v>
      </c>
      <c r="EZ30" s="518">
        <v>791628.18028186902</v>
      </c>
      <c r="FB30" s="518">
        <v>97519.633365887377</v>
      </c>
      <c r="FC30" s="518">
        <v>-14515.653963267097</v>
      </c>
      <c r="FF30" s="518">
        <v>680088.76739721093</v>
      </c>
      <c r="FI30" s="488">
        <v>3958.1409014093451</v>
      </c>
      <c r="FK30" s="488">
        <v>200</v>
      </c>
      <c r="FL30" s="488">
        <v>0</v>
      </c>
      <c r="FM30" s="488">
        <v>200</v>
      </c>
    </row>
    <row r="31" spans="1:169" s="488" customFormat="1" x14ac:dyDescent="0.2">
      <c r="A31" s="557" t="s">
        <v>12</v>
      </c>
      <c r="B31" s="557" t="s">
        <v>819</v>
      </c>
      <c r="C31" s="557">
        <v>5201</v>
      </c>
      <c r="D31" s="488" t="s">
        <v>169</v>
      </c>
      <c r="E31" s="490"/>
      <c r="F31" s="490"/>
      <c r="G31" s="490"/>
      <c r="H31" s="490"/>
      <c r="I31" s="490"/>
      <c r="J31" s="490"/>
      <c r="K31" s="490"/>
      <c r="L31" s="490"/>
      <c r="M31" s="490"/>
      <c r="N31" s="528">
        <v>190</v>
      </c>
      <c r="O31" s="529">
        <v>296.24799999999999</v>
      </c>
      <c r="P31" s="530">
        <v>488167.59447352547</v>
      </c>
      <c r="Q31" s="528">
        <v>112</v>
      </c>
      <c r="R31" s="529">
        <v>166.54400000000001</v>
      </c>
      <c r="S31" s="530">
        <v>274436.90372255287</v>
      </c>
      <c r="T31" s="531">
        <v>60</v>
      </c>
      <c r="U31" s="529">
        <v>105.84</v>
      </c>
      <c r="V31" s="530">
        <v>174406.77472616843</v>
      </c>
      <c r="W31" s="491"/>
      <c r="X31" s="532">
        <v>0</v>
      </c>
      <c r="Y31" s="530">
        <v>0</v>
      </c>
      <c r="Z31" s="529">
        <v>362</v>
      </c>
      <c r="AA31" s="532">
        <v>568.63200000000006</v>
      </c>
      <c r="AB31" s="530">
        <v>937011</v>
      </c>
      <c r="AC31" s="490"/>
      <c r="AD31" s="490"/>
      <c r="AE31" s="490"/>
      <c r="AF31" s="490"/>
      <c r="AG31" s="490"/>
      <c r="AH31" s="490"/>
      <c r="AI31" s="533"/>
      <c r="AJ31" s="530">
        <v>0</v>
      </c>
      <c r="AK31" s="530">
        <v>0</v>
      </c>
      <c r="AL31" s="530">
        <v>7347.51</v>
      </c>
      <c r="AM31" s="534"/>
      <c r="AN31" s="530">
        <v>0</v>
      </c>
      <c r="AO31" s="535">
        <v>163.5</v>
      </c>
      <c r="AP31" s="530">
        <v>6290.6720186671655</v>
      </c>
      <c r="AQ31" s="536">
        <v>2</v>
      </c>
      <c r="AR31" s="530">
        <v>22680.611130037629</v>
      </c>
      <c r="AS31" s="490"/>
      <c r="AT31" s="536">
        <v>37.5</v>
      </c>
      <c r="AU31" s="536">
        <v>17.5</v>
      </c>
      <c r="AV31" s="537">
        <v>25.833333333333332</v>
      </c>
      <c r="AW31" s="538">
        <v>15516.733546940686</v>
      </c>
      <c r="AX31" s="539"/>
      <c r="AY31" s="535">
        <v>0</v>
      </c>
      <c r="AZ31" s="540"/>
      <c r="BA31" s="499"/>
      <c r="BB31" s="528">
        <v>2</v>
      </c>
      <c r="BC31" s="528">
        <v>1523.4619188921858</v>
      </c>
      <c r="BD31" s="528">
        <v>20</v>
      </c>
      <c r="BE31" s="538">
        <v>6535.6788848021042</v>
      </c>
      <c r="BF31" s="535">
        <v>352</v>
      </c>
      <c r="BG31" s="535">
        <v>25</v>
      </c>
      <c r="BH31" s="535">
        <v>342</v>
      </c>
      <c r="BI31" s="535">
        <v>32</v>
      </c>
      <c r="BJ31" s="536">
        <v>362</v>
      </c>
      <c r="BK31" s="536">
        <v>37</v>
      </c>
      <c r="BL31" s="541">
        <v>352</v>
      </c>
      <c r="BM31" s="541">
        <v>31.33</v>
      </c>
      <c r="BN31" s="542">
        <v>8.9</v>
      </c>
      <c r="BO31" s="529">
        <v>32.22</v>
      </c>
      <c r="BP31" s="528">
        <v>47515.330620093686</v>
      </c>
      <c r="BQ31" s="536">
        <v>0</v>
      </c>
      <c r="BR31" s="530">
        <v>0</v>
      </c>
      <c r="BS31" s="536">
        <v>3</v>
      </c>
      <c r="BT31" s="530">
        <v>606.25578045377688</v>
      </c>
      <c r="BU31" s="530">
        <v>107</v>
      </c>
      <c r="BV31" s="530">
        <v>24329.813146771608</v>
      </c>
      <c r="BW31" s="536">
        <v>7</v>
      </c>
      <c r="BX31" s="530">
        <v>5992.8219732683219</v>
      </c>
      <c r="BY31" s="500"/>
      <c r="BZ31" s="282"/>
      <c r="CA31" s="282"/>
      <c r="CB31" s="490"/>
      <c r="CC31" s="490"/>
      <c r="CD31" s="490"/>
      <c r="CE31" s="282"/>
      <c r="CF31" s="490"/>
      <c r="CG31" s="543">
        <v>362</v>
      </c>
      <c r="CH31" s="532" t="e">
        <v>#DIV/0!</v>
      </c>
      <c r="CI31" s="532" t="e">
        <v>#DIV/0!</v>
      </c>
      <c r="CJ31" s="544"/>
      <c r="CK31" s="490"/>
      <c r="CL31" s="545">
        <v>2373.6431915577459</v>
      </c>
      <c r="CM31" s="546">
        <v>2</v>
      </c>
      <c r="CN31" s="532">
        <v>4747.2863831154918</v>
      </c>
      <c r="CO31" s="530">
        <v>6794.99</v>
      </c>
      <c r="CP31" s="490"/>
      <c r="CQ31" s="490"/>
      <c r="CR31" s="490"/>
      <c r="CS31" s="490"/>
      <c r="CT31" s="490"/>
      <c r="CU31" s="490"/>
      <c r="CV31" s="490"/>
      <c r="CW31" s="490"/>
      <c r="CX31" s="490"/>
      <c r="CY31" s="547"/>
      <c r="CZ31" s="530">
        <v>0</v>
      </c>
      <c r="DA31" s="506">
        <v>10396.6</v>
      </c>
      <c r="DB31" s="548"/>
      <c r="DC31" s="537">
        <v>0</v>
      </c>
      <c r="DD31" s="530">
        <v>0</v>
      </c>
      <c r="DE31" s="490"/>
      <c r="DF31" s="529">
        <v>1</v>
      </c>
      <c r="DG31" s="549">
        <v>70073.495851086889</v>
      </c>
      <c r="DH31" s="550"/>
      <c r="DI31" s="530">
        <v>0</v>
      </c>
      <c r="DJ31" s="551"/>
      <c r="DK31" s="552"/>
      <c r="DL31" s="282"/>
      <c r="DM31" s="490"/>
      <c r="DN31" s="509"/>
      <c r="DO31" s="553">
        <v>1</v>
      </c>
      <c r="DP31" s="530">
        <v>1250.2077794680429</v>
      </c>
      <c r="DQ31" s="282"/>
      <c r="DR31" s="510"/>
      <c r="DS31" s="282"/>
      <c r="DT31" s="541">
        <v>0</v>
      </c>
      <c r="DU31" s="541">
        <v>0</v>
      </c>
      <c r="DV31" s="490"/>
      <c r="DW31" s="490"/>
      <c r="DX31" s="511">
        <v>106097.7858</v>
      </c>
      <c r="DY31" s="512">
        <v>9986.6869999999999</v>
      </c>
      <c r="DZ31" s="513">
        <v>1279949.6554504822</v>
      </c>
      <c r="EA31" s="513">
        <v>22237.158821712481</v>
      </c>
      <c r="EB31" s="514">
        <v>4254</v>
      </c>
      <c r="EC31" s="514">
        <v>0</v>
      </c>
      <c r="ED31" s="514">
        <v>3346.0338121711393</v>
      </c>
      <c r="EE31" s="494"/>
      <c r="EF31" s="513">
        <v>1309786.8480843657</v>
      </c>
      <c r="EG31" s="513">
        <v>1299390.2480843656</v>
      </c>
      <c r="EH31" s="515">
        <v>362</v>
      </c>
      <c r="EI31" s="516">
        <v>15183.695903691179</v>
      </c>
      <c r="EJ31" s="517"/>
      <c r="EL31" s="518"/>
      <c r="EM31" s="518">
        <v>1309786.8480843657</v>
      </c>
      <c r="EN31" s="518">
        <v>-106097.7858</v>
      </c>
      <c r="EO31" s="518">
        <v>-3346.0338121711393</v>
      </c>
      <c r="EP31" s="518">
        <v>-1754.6247559664916</v>
      </c>
      <c r="EQ31" s="518">
        <v>-15516.733546940686</v>
      </c>
      <c r="ER31" s="518">
        <v>0</v>
      </c>
      <c r="ES31" s="518">
        <v>-4254</v>
      </c>
      <c r="ET31" s="518">
        <v>0</v>
      </c>
      <c r="EU31" s="518">
        <v>0</v>
      </c>
      <c r="EV31" s="518">
        <v>0</v>
      </c>
      <c r="EW31" s="518">
        <v>0</v>
      </c>
      <c r="EX31" s="518">
        <v>-22680.611130037629</v>
      </c>
      <c r="EY31" s="518">
        <v>0</v>
      </c>
      <c r="EZ31" s="518">
        <v>1156137.05903925</v>
      </c>
      <c r="FB31" s="518">
        <v>111198.44436813763</v>
      </c>
      <c r="FC31" s="518">
        <v>-15516.733546940686</v>
      </c>
      <c r="FF31" s="518">
        <v>1017622.6354384939</v>
      </c>
      <c r="FI31" s="488">
        <v>3202.5957314106649</v>
      </c>
      <c r="FK31" s="488">
        <v>361</v>
      </c>
      <c r="FL31" s="488">
        <v>0</v>
      </c>
      <c r="FM31" s="488">
        <v>361</v>
      </c>
    </row>
    <row r="32" spans="1:169" s="488" customFormat="1" x14ac:dyDescent="0.2">
      <c r="A32" s="489" t="s">
        <v>13</v>
      </c>
      <c r="B32" s="489" t="s">
        <v>820</v>
      </c>
      <c r="C32" s="489">
        <v>2407</v>
      </c>
      <c r="D32" s="488" t="s">
        <v>169</v>
      </c>
      <c r="E32" s="490"/>
      <c r="F32" s="490"/>
      <c r="G32" s="490"/>
      <c r="H32" s="490"/>
      <c r="I32" s="490"/>
      <c r="J32" s="490"/>
      <c r="K32" s="490"/>
      <c r="L32" s="490"/>
      <c r="M32" s="490"/>
      <c r="N32" s="528">
        <v>124</v>
      </c>
      <c r="O32" s="529">
        <v>193.3408</v>
      </c>
      <c r="P32" s="530">
        <v>318593.58797219559</v>
      </c>
      <c r="Q32" s="528">
        <v>83</v>
      </c>
      <c r="R32" s="529">
        <v>123.42100000000001</v>
      </c>
      <c r="S32" s="530">
        <v>203377.34829439185</v>
      </c>
      <c r="T32" s="531">
        <v>37</v>
      </c>
      <c r="U32" s="529">
        <v>65.268000000000001</v>
      </c>
      <c r="V32" s="530">
        <v>107550.84441447053</v>
      </c>
      <c r="W32" s="491"/>
      <c r="X32" s="532">
        <v>0</v>
      </c>
      <c r="Y32" s="530">
        <v>0</v>
      </c>
      <c r="Z32" s="529">
        <v>244</v>
      </c>
      <c r="AA32" s="532">
        <v>382.02980000000002</v>
      </c>
      <c r="AB32" s="530">
        <v>629523</v>
      </c>
      <c r="AC32" s="490"/>
      <c r="AD32" s="490"/>
      <c r="AE32" s="490"/>
      <c r="AF32" s="490"/>
      <c r="AG32" s="490"/>
      <c r="AH32" s="490"/>
      <c r="AI32" s="533"/>
      <c r="AJ32" s="530">
        <v>0</v>
      </c>
      <c r="AK32" s="530">
        <v>0</v>
      </c>
      <c r="AL32" s="530">
        <v>4952.47</v>
      </c>
      <c r="AM32" s="534"/>
      <c r="AN32" s="530">
        <v>0</v>
      </c>
      <c r="AO32" s="535">
        <v>24.1</v>
      </c>
      <c r="AP32" s="530">
        <v>927.2489030573621</v>
      </c>
      <c r="AQ32" s="536">
        <v>2</v>
      </c>
      <c r="AR32" s="530">
        <v>22680.611130037629</v>
      </c>
      <c r="AS32" s="490"/>
      <c r="AT32" s="536">
        <v>37.5</v>
      </c>
      <c r="AU32" s="536">
        <v>5</v>
      </c>
      <c r="AV32" s="537">
        <v>18.541666666666668</v>
      </c>
      <c r="AW32" s="538">
        <v>11137.010368368719</v>
      </c>
      <c r="AX32" s="539">
        <v>15</v>
      </c>
      <c r="AY32" s="535">
        <v>9009.7162530623336</v>
      </c>
      <c r="AZ32" s="540"/>
      <c r="BA32" s="499"/>
      <c r="BB32" s="528">
        <v>9</v>
      </c>
      <c r="BC32" s="528">
        <v>6855.5786350148364</v>
      </c>
      <c r="BD32" s="528">
        <v>39</v>
      </c>
      <c r="BE32" s="538">
        <v>12744.573825364103</v>
      </c>
      <c r="BF32" s="535">
        <v>202</v>
      </c>
      <c r="BG32" s="535">
        <v>84</v>
      </c>
      <c r="BH32" s="535">
        <v>237</v>
      </c>
      <c r="BI32" s="535">
        <v>104</v>
      </c>
      <c r="BJ32" s="536">
        <v>244</v>
      </c>
      <c r="BK32" s="536">
        <v>114</v>
      </c>
      <c r="BL32" s="541">
        <v>227.67</v>
      </c>
      <c r="BM32" s="541">
        <v>100.67</v>
      </c>
      <c r="BN32" s="542">
        <v>44.22</v>
      </c>
      <c r="BO32" s="529">
        <v>107.9</v>
      </c>
      <c r="BP32" s="528">
        <v>159121.79310701767</v>
      </c>
      <c r="BQ32" s="536">
        <v>34</v>
      </c>
      <c r="BR32" s="530">
        <v>6833.03</v>
      </c>
      <c r="BS32" s="536">
        <v>28</v>
      </c>
      <c r="BT32" s="530">
        <v>5658.3872842352512</v>
      </c>
      <c r="BU32" s="530">
        <v>579</v>
      </c>
      <c r="BV32" s="530">
        <v>131653.84871010057</v>
      </c>
      <c r="BW32" s="536">
        <v>27</v>
      </c>
      <c r="BX32" s="530">
        <v>23115.17046832067</v>
      </c>
      <c r="BY32" s="500"/>
      <c r="BZ32" s="282"/>
      <c r="CA32" s="282"/>
      <c r="CB32" s="490"/>
      <c r="CC32" s="490"/>
      <c r="CD32" s="490"/>
      <c r="CE32" s="282"/>
      <c r="CF32" s="490"/>
      <c r="CG32" s="543">
        <v>244</v>
      </c>
      <c r="CH32" s="532" t="e">
        <v>#DIV/0!</v>
      </c>
      <c r="CI32" s="532" t="e">
        <v>#DIV/0!</v>
      </c>
      <c r="CJ32" s="544"/>
      <c r="CK32" s="490"/>
      <c r="CL32" s="545">
        <v>2191.1895691788086</v>
      </c>
      <c r="CM32" s="546">
        <v>3</v>
      </c>
      <c r="CN32" s="532">
        <v>6573.5687075364258</v>
      </c>
      <c r="CO32" s="530">
        <v>9409.0300000000007</v>
      </c>
      <c r="CP32" s="490"/>
      <c r="CQ32" s="490"/>
      <c r="CR32" s="490"/>
      <c r="CS32" s="490"/>
      <c r="CT32" s="490"/>
      <c r="CU32" s="490"/>
      <c r="CV32" s="490"/>
      <c r="CW32" s="490"/>
      <c r="CX32" s="490"/>
      <c r="CY32" s="547"/>
      <c r="CZ32" s="530">
        <v>0</v>
      </c>
      <c r="DA32" s="506">
        <v>14240.29</v>
      </c>
      <c r="DB32" s="548"/>
      <c r="DC32" s="537">
        <v>0</v>
      </c>
      <c r="DD32" s="530">
        <v>0</v>
      </c>
      <c r="DE32" s="490"/>
      <c r="DF32" s="529">
        <v>1</v>
      </c>
      <c r="DG32" s="549">
        <v>70073.495851086889</v>
      </c>
      <c r="DH32" s="550"/>
      <c r="DI32" s="530">
        <v>0</v>
      </c>
      <c r="DJ32" s="551"/>
      <c r="DK32" s="552"/>
      <c r="DL32" s="282"/>
      <c r="DM32" s="490"/>
      <c r="DN32" s="509"/>
      <c r="DO32" s="553">
        <v>0</v>
      </c>
      <c r="DP32" s="530">
        <v>0</v>
      </c>
      <c r="DQ32" s="282"/>
      <c r="DR32" s="510"/>
      <c r="DS32" s="282"/>
      <c r="DT32" s="541">
        <v>0</v>
      </c>
      <c r="DU32" s="541">
        <v>0</v>
      </c>
      <c r="DV32" s="490"/>
      <c r="DW32" s="490"/>
      <c r="DX32" s="511">
        <v>98885.540999999997</v>
      </c>
      <c r="DY32" s="512">
        <v>0</v>
      </c>
      <c r="DZ32" s="513">
        <v>1216820.7955356659</v>
      </c>
      <c r="EA32" s="513">
        <v>0</v>
      </c>
      <c r="EB32" s="514">
        <v>13264</v>
      </c>
      <c r="EC32" s="514">
        <v>0</v>
      </c>
      <c r="ED32" s="514">
        <v>5100.8629999999976</v>
      </c>
      <c r="EE32" s="494"/>
      <c r="EF32" s="513">
        <v>1235185.6585356658</v>
      </c>
      <c r="EG32" s="513">
        <v>1220945.3685356658</v>
      </c>
      <c r="EH32" s="515">
        <v>244</v>
      </c>
      <c r="EI32" s="516">
        <v>10234.314366023889</v>
      </c>
      <c r="EJ32" s="517"/>
      <c r="EL32" s="518"/>
      <c r="EM32" s="518">
        <v>1235185.6585356658</v>
      </c>
      <c r="EN32" s="518">
        <v>-98885.540999999997</v>
      </c>
      <c r="EO32" s="518">
        <v>-5100.8629999999976</v>
      </c>
      <c r="EP32" s="558">
        <v>0</v>
      </c>
      <c r="EQ32" s="518">
        <v>-11137.010368368719</v>
      </c>
      <c r="ER32" s="518">
        <v>-9009.7162530623336</v>
      </c>
      <c r="ES32" s="518">
        <v>-13264</v>
      </c>
      <c r="ET32" s="518">
        <v>0</v>
      </c>
      <c r="EU32" s="518">
        <v>0</v>
      </c>
      <c r="EV32" s="518">
        <v>0</v>
      </c>
      <c r="EW32" s="518">
        <v>0</v>
      </c>
      <c r="EX32" s="518">
        <v>-22680.611130037629</v>
      </c>
      <c r="EY32" s="758">
        <v>0</v>
      </c>
      <c r="EZ32" s="518">
        <v>1075107.9167841973</v>
      </c>
      <c r="FB32" s="518">
        <v>103986.40399999999</v>
      </c>
      <c r="FC32" s="518">
        <v>-20146.726621431051</v>
      </c>
      <c r="FF32" s="518">
        <v>957102.42092045385</v>
      </c>
      <c r="FI32" s="488">
        <v>4335.1125676782149</v>
      </c>
      <c r="FK32" s="760">
        <v>248</v>
      </c>
      <c r="FL32" s="760">
        <v>0</v>
      </c>
      <c r="FM32" s="488">
        <v>248</v>
      </c>
    </row>
    <row r="33" spans="1:169" s="488" customFormat="1" x14ac:dyDescent="0.2">
      <c r="A33" s="489" t="s">
        <v>14</v>
      </c>
      <c r="B33" s="489" t="s">
        <v>821</v>
      </c>
      <c r="C33" s="489">
        <v>2433</v>
      </c>
      <c r="D33" s="488" t="s">
        <v>169</v>
      </c>
      <c r="E33" s="490"/>
      <c r="F33" s="490"/>
      <c r="G33" s="490"/>
      <c r="H33" s="490"/>
      <c r="I33" s="490"/>
      <c r="J33" s="490"/>
      <c r="K33" s="490"/>
      <c r="L33" s="490"/>
      <c r="M33" s="490"/>
      <c r="N33" s="528">
        <v>0</v>
      </c>
      <c r="O33" s="529">
        <v>0</v>
      </c>
      <c r="P33" s="530">
        <v>0</v>
      </c>
      <c r="Q33" s="528">
        <v>115</v>
      </c>
      <c r="R33" s="529">
        <v>171.005</v>
      </c>
      <c r="S33" s="530">
        <v>281787.89221512125</v>
      </c>
      <c r="T33" s="531">
        <v>61</v>
      </c>
      <c r="U33" s="529">
        <v>107.604</v>
      </c>
      <c r="V33" s="530">
        <v>177313.55430493789</v>
      </c>
      <c r="W33" s="491"/>
      <c r="X33" s="532">
        <v>0</v>
      </c>
      <c r="Y33" s="530">
        <v>0</v>
      </c>
      <c r="Z33" s="529">
        <v>176</v>
      </c>
      <c r="AA33" s="532">
        <v>278.60900000000004</v>
      </c>
      <c r="AB33" s="530">
        <v>459101</v>
      </c>
      <c r="AC33" s="490"/>
      <c r="AD33" s="490"/>
      <c r="AE33" s="490"/>
      <c r="AF33" s="490"/>
      <c r="AG33" s="490"/>
      <c r="AH33" s="490"/>
      <c r="AI33" s="554">
        <v>492200.68550177501</v>
      </c>
      <c r="AJ33" s="530">
        <v>0</v>
      </c>
      <c r="AK33" s="530">
        <v>0</v>
      </c>
      <c r="AL33" s="530">
        <v>3572.27</v>
      </c>
      <c r="AM33" s="534"/>
      <c r="AN33" s="530">
        <v>0</v>
      </c>
      <c r="AO33" s="535">
        <v>48.6</v>
      </c>
      <c r="AP33" s="530">
        <v>1869.8878294019828</v>
      </c>
      <c r="AQ33" s="536">
        <v>2</v>
      </c>
      <c r="AR33" s="530">
        <v>22680.611130037629</v>
      </c>
      <c r="AS33" s="490"/>
      <c r="AT33" s="536">
        <v>10</v>
      </c>
      <c r="AU33" s="536">
        <v>0</v>
      </c>
      <c r="AV33" s="537">
        <v>4.166666666666667</v>
      </c>
      <c r="AW33" s="538">
        <v>2502.698959183982</v>
      </c>
      <c r="AX33" s="539"/>
      <c r="AY33" s="535">
        <v>0</v>
      </c>
      <c r="AZ33" s="540"/>
      <c r="BA33" s="499"/>
      <c r="BB33" s="528">
        <v>5</v>
      </c>
      <c r="BC33" s="528">
        <v>3808.6547972304647</v>
      </c>
      <c r="BD33" s="528">
        <v>16</v>
      </c>
      <c r="BE33" s="538">
        <v>5228.5431078416832</v>
      </c>
      <c r="BF33" s="535">
        <v>158</v>
      </c>
      <c r="BG33" s="535">
        <v>51.5</v>
      </c>
      <c r="BH33" s="535">
        <v>162</v>
      </c>
      <c r="BI33" s="535">
        <v>43</v>
      </c>
      <c r="BJ33" s="536">
        <v>176</v>
      </c>
      <c r="BK33" s="536">
        <v>54</v>
      </c>
      <c r="BL33" s="541">
        <v>165.33</v>
      </c>
      <c r="BM33" s="541">
        <v>49.5</v>
      </c>
      <c r="BN33" s="542">
        <v>29.94</v>
      </c>
      <c r="BO33" s="529">
        <v>52.69</v>
      </c>
      <c r="BP33" s="528">
        <v>77702.755132611317</v>
      </c>
      <c r="BQ33" s="536">
        <v>11</v>
      </c>
      <c r="BR33" s="530">
        <v>2210.69</v>
      </c>
      <c r="BS33" s="536">
        <v>8</v>
      </c>
      <c r="BT33" s="530">
        <v>1616.6820812100718</v>
      </c>
      <c r="BU33" s="530">
        <v>248</v>
      </c>
      <c r="BV33" s="530">
        <v>56390.594957003348</v>
      </c>
      <c r="BW33" s="536">
        <v>9</v>
      </c>
      <c r="BX33" s="530">
        <v>7705.0568227735575</v>
      </c>
      <c r="BY33" s="500"/>
      <c r="BZ33" s="282"/>
      <c r="CA33" s="282"/>
      <c r="CB33" s="490"/>
      <c r="CC33" s="490"/>
      <c r="CD33" s="490"/>
      <c r="CE33" s="282"/>
      <c r="CF33" s="490"/>
      <c r="CG33" s="543">
        <v>176</v>
      </c>
      <c r="CH33" s="532" t="e">
        <v>#DIV/0!</v>
      </c>
      <c r="CI33" s="532" t="e">
        <v>#DIV/0!</v>
      </c>
      <c r="CJ33" s="544"/>
      <c r="CK33" s="490"/>
      <c r="CL33" s="545">
        <v>1747.7103416590091</v>
      </c>
      <c r="CM33" s="546">
        <v>2</v>
      </c>
      <c r="CN33" s="532">
        <v>3495.4206833180183</v>
      </c>
      <c r="CO33" s="530">
        <v>5003.1400000000003</v>
      </c>
      <c r="CP33" s="490"/>
      <c r="CQ33" s="490"/>
      <c r="CR33" s="490"/>
      <c r="CS33" s="490"/>
      <c r="CT33" s="490"/>
      <c r="CU33" s="490"/>
      <c r="CV33" s="490"/>
      <c r="CW33" s="490"/>
      <c r="CX33" s="490"/>
      <c r="CY33" s="547"/>
      <c r="CZ33" s="530">
        <v>0</v>
      </c>
      <c r="DA33" s="506">
        <v>7671.5</v>
      </c>
      <c r="DB33" s="548"/>
      <c r="DC33" s="537">
        <v>0</v>
      </c>
      <c r="DD33" s="530">
        <v>0</v>
      </c>
      <c r="DE33" s="490"/>
      <c r="DF33" s="529">
        <v>1</v>
      </c>
      <c r="DG33" s="549">
        <v>70073.495851086889</v>
      </c>
      <c r="DH33" s="550"/>
      <c r="DI33" s="530">
        <v>0</v>
      </c>
      <c r="DJ33" s="551"/>
      <c r="DK33" s="552"/>
      <c r="DL33" s="282"/>
      <c r="DM33" s="490"/>
      <c r="DN33" s="509"/>
      <c r="DO33" s="553">
        <v>0</v>
      </c>
      <c r="DP33" s="530">
        <v>0</v>
      </c>
      <c r="DQ33" s="282"/>
      <c r="DR33" s="510"/>
      <c r="DS33" s="282"/>
      <c r="DT33" s="541">
        <v>0</v>
      </c>
      <c r="DU33" s="541">
        <v>0</v>
      </c>
      <c r="DV33" s="490"/>
      <c r="DW33" s="490"/>
      <c r="DX33" s="511">
        <v>93502.77</v>
      </c>
      <c r="DY33" s="512">
        <v>0</v>
      </c>
      <c r="DZ33" s="513">
        <v>1312841.0361701555</v>
      </c>
      <c r="EA33" s="513">
        <v>68214.934877201449</v>
      </c>
      <c r="EB33" s="514">
        <v>0</v>
      </c>
      <c r="EC33" s="514">
        <v>0</v>
      </c>
      <c r="ED33" s="514">
        <v>-10265.964327621026</v>
      </c>
      <c r="EE33" s="494"/>
      <c r="EF33" s="513">
        <v>1370790.0067197359</v>
      </c>
      <c r="EG33" s="513">
        <v>1363118.5067197359</v>
      </c>
      <c r="EH33" s="515">
        <v>176</v>
      </c>
      <c r="EI33" s="516">
        <v>7382.1283951647729</v>
      </c>
      <c r="EJ33" s="517"/>
      <c r="EL33" s="518"/>
      <c r="EM33" s="518">
        <v>1370790.0067197359</v>
      </c>
      <c r="EN33" s="518">
        <v>-93502.77</v>
      </c>
      <c r="EO33" s="518">
        <v>10265.964327621026</v>
      </c>
      <c r="EP33" s="518">
        <v>-8667.1887017144254</v>
      </c>
      <c r="EQ33" s="518">
        <v>-2502.698959183982</v>
      </c>
      <c r="ER33" s="518">
        <v>0</v>
      </c>
      <c r="ES33" s="518">
        <v>0</v>
      </c>
      <c r="ET33" s="518">
        <v>-492200.68550177501</v>
      </c>
      <c r="EU33" s="518">
        <v>0</v>
      </c>
      <c r="EV33" s="518">
        <v>0</v>
      </c>
      <c r="EW33" s="518">
        <v>0</v>
      </c>
      <c r="EX33" s="518">
        <v>-22680.611130037629</v>
      </c>
      <c r="EY33" s="518">
        <v>-67984.696758102131</v>
      </c>
      <c r="EZ33" s="518">
        <v>693517.31999654393</v>
      </c>
      <c r="FB33" s="518">
        <v>91903.994374093396</v>
      </c>
      <c r="FC33" s="518">
        <v>-494703.384460959</v>
      </c>
      <c r="FF33" s="518">
        <v>606918.75170961861</v>
      </c>
      <c r="FI33" s="488">
        <v>4685.9278378144863</v>
      </c>
      <c r="FK33" s="488">
        <v>175</v>
      </c>
      <c r="FL33" s="488">
        <v>27</v>
      </c>
      <c r="FM33" s="488">
        <v>148</v>
      </c>
    </row>
    <row r="34" spans="1:169" s="488" customFormat="1" x14ac:dyDescent="0.2">
      <c r="A34" s="489" t="s">
        <v>15</v>
      </c>
      <c r="B34" s="489" t="s">
        <v>822</v>
      </c>
      <c r="C34" s="489">
        <v>2432</v>
      </c>
      <c r="D34" s="488" t="s">
        <v>169</v>
      </c>
      <c r="E34" s="490"/>
      <c r="F34" s="490"/>
      <c r="G34" s="490"/>
      <c r="H34" s="490"/>
      <c r="I34" s="490"/>
      <c r="J34" s="490"/>
      <c r="K34" s="490"/>
      <c r="L34" s="490"/>
      <c r="M34" s="490"/>
      <c r="N34" s="528">
        <v>215</v>
      </c>
      <c r="O34" s="529">
        <v>335.22800000000001</v>
      </c>
      <c r="P34" s="530">
        <v>552400.17269372626</v>
      </c>
      <c r="Q34" s="528">
        <v>0</v>
      </c>
      <c r="R34" s="529">
        <v>0</v>
      </c>
      <c r="S34" s="530">
        <v>0</v>
      </c>
      <c r="T34" s="531">
        <v>0</v>
      </c>
      <c r="U34" s="529">
        <v>0</v>
      </c>
      <c r="V34" s="530">
        <v>0</v>
      </c>
      <c r="W34" s="491"/>
      <c r="X34" s="532">
        <v>0</v>
      </c>
      <c r="Y34" s="530">
        <v>0</v>
      </c>
      <c r="Z34" s="529">
        <v>215</v>
      </c>
      <c r="AA34" s="532">
        <v>335.22800000000001</v>
      </c>
      <c r="AB34" s="530">
        <v>552400</v>
      </c>
      <c r="AC34" s="490"/>
      <c r="AD34" s="490"/>
      <c r="AE34" s="490"/>
      <c r="AF34" s="490"/>
      <c r="AG34" s="490"/>
      <c r="AH34" s="490"/>
      <c r="AI34" s="554">
        <v>623434.01330461411</v>
      </c>
      <c r="AJ34" s="530">
        <v>0</v>
      </c>
      <c r="AK34" s="530">
        <v>0</v>
      </c>
      <c r="AL34" s="530">
        <v>4363.8500000000004</v>
      </c>
      <c r="AM34" s="534"/>
      <c r="AN34" s="530">
        <v>0</v>
      </c>
      <c r="AO34" s="535">
        <v>37</v>
      </c>
      <c r="AP34" s="530">
        <v>1423.5771540714686</v>
      </c>
      <c r="AQ34" s="536">
        <v>0</v>
      </c>
      <c r="AR34" s="530">
        <v>0</v>
      </c>
      <c r="AS34" s="490"/>
      <c r="AT34" s="536">
        <v>5</v>
      </c>
      <c r="AU34" s="536">
        <v>5</v>
      </c>
      <c r="AV34" s="537">
        <v>5</v>
      </c>
      <c r="AW34" s="538">
        <v>3003.2387510207782</v>
      </c>
      <c r="AX34" s="539"/>
      <c r="AY34" s="535">
        <v>0</v>
      </c>
      <c r="AZ34" s="540"/>
      <c r="BA34" s="499"/>
      <c r="BB34" s="528">
        <v>3</v>
      </c>
      <c r="BC34" s="528">
        <v>2285.1928783382787</v>
      </c>
      <c r="BD34" s="528">
        <v>10</v>
      </c>
      <c r="BE34" s="538">
        <v>3267.8394424010521</v>
      </c>
      <c r="BF34" s="535">
        <v>207</v>
      </c>
      <c r="BG34" s="535">
        <v>83</v>
      </c>
      <c r="BH34" s="535">
        <v>211</v>
      </c>
      <c r="BI34" s="535">
        <v>76</v>
      </c>
      <c r="BJ34" s="536">
        <v>215</v>
      </c>
      <c r="BK34" s="536">
        <v>75</v>
      </c>
      <c r="BL34" s="541">
        <v>211</v>
      </c>
      <c r="BM34" s="541">
        <v>78</v>
      </c>
      <c r="BN34" s="542">
        <v>36.97</v>
      </c>
      <c r="BO34" s="529">
        <v>79.489999999999995</v>
      </c>
      <c r="BP34" s="528">
        <v>117225.12821201884</v>
      </c>
      <c r="BQ34" s="536">
        <v>12</v>
      </c>
      <c r="BR34" s="530">
        <v>2411.66</v>
      </c>
      <c r="BS34" s="536">
        <v>21</v>
      </c>
      <c r="BT34" s="530">
        <v>4243.7904631764386</v>
      </c>
      <c r="BU34" s="530">
        <v>283</v>
      </c>
      <c r="BV34" s="530">
        <v>64348.945051741728</v>
      </c>
      <c r="BW34" s="536">
        <v>11</v>
      </c>
      <c r="BX34" s="530">
        <v>9417.2916722787922</v>
      </c>
      <c r="BY34" s="500"/>
      <c r="BZ34" s="282"/>
      <c r="CA34" s="282"/>
      <c r="CB34" s="490"/>
      <c r="CC34" s="490"/>
      <c r="CD34" s="490"/>
      <c r="CE34" s="282"/>
      <c r="CF34" s="490"/>
      <c r="CG34" s="543">
        <v>215</v>
      </c>
      <c r="CH34" s="532" t="e">
        <v>#DIV/0!</v>
      </c>
      <c r="CI34" s="532" t="e">
        <v>#DIV/0!</v>
      </c>
      <c r="CJ34" s="544"/>
      <c r="CK34" s="490"/>
      <c r="CL34" s="545">
        <v>1910</v>
      </c>
      <c r="CM34" s="546">
        <v>2</v>
      </c>
      <c r="CN34" s="532">
        <v>3820</v>
      </c>
      <c r="CO34" s="530">
        <v>5467.73</v>
      </c>
      <c r="CP34" s="490"/>
      <c r="CQ34" s="490"/>
      <c r="CR34" s="490"/>
      <c r="CS34" s="490"/>
      <c r="CT34" s="490"/>
      <c r="CU34" s="490"/>
      <c r="CV34" s="490"/>
      <c r="CW34" s="490"/>
      <c r="CX34" s="490"/>
      <c r="CY34" s="547"/>
      <c r="CZ34" s="530">
        <v>0</v>
      </c>
      <c r="DA34" s="506">
        <v>7671.5</v>
      </c>
      <c r="DB34" s="548"/>
      <c r="DC34" s="537">
        <v>0</v>
      </c>
      <c r="DD34" s="530">
        <v>0</v>
      </c>
      <c r="DE34" s="490"/>
      <c r="DF34" s="529">
        <v>1</v>
      </c>
      <c r="DG34" s="549">
        <v>70073.495851086889</v>
      </c>
      <c r="DH34" s="550"/>
      <c r="DI34" s="530">
        <v>0</v>
      </c>
      <c r="DJ34" s="551"/>
      <c r="DK34" s="552"/>
      <c r="DL34" s="282"/>
      <c r="DM34" s="490"/>
      <c r="DN34" s="509"/>
      <c r="DO34" s="553">
        <v>0</v>
      </c>
      <c r="DP34" s="530">
        <v>0</v>
      </c>
      <c r="DQ34" s="282"/>
      <c r="DR34" s="510"/>
      <c r="DS34" s="282"/>
      <c r="DT34" s="541">
        <v>0</v>
      </c>
      <c r="DU34" s="541">
        <v>0</v>
      </c>
      <c r="DV34" s="490"/>
      <c r="DW34" s="490"/>
      <c r="DX34" s="511"/>
      <c r="DY34" s="512">
        <v>0</v>
      </c>
      <c r="DZ34" s="513">
        <v>1471037.2527807483</v>
      </c>
      <c r="EA34" s="513">
        <v>14095.520642657531</v>
      </c>
      <c r="EB34" s="514">
        <v>-5006</v>
      </c>
      <c r="EC34" s="514">
        <v>0</v>
      </c>
      <c r="ED34" s="514">
        <v>0</v>
      </c>
      <c r="EE34" s="494"/>
      <c r="EF34" s="513">
        <v>1480126.7734234058</v>
      </c>
      <c r="EG34" s="513">
        <v>1472455.2734234058</v>
      </c>
      <c r="EH34" s="515">
        <v>215</v>
      </c>
      <c r="EI34" s="516">
        <v>9017.9409372751488</v>
      </c>
      <c r="EJ34" s="517"/>
      <c r="EL34" s="518"/>
      <c r="EM34" s="518">
        <v>1480126.7734234058</v>
      </c>
      <c r="EN34" s="518">
        <v>0</v>
      </c>
      <c r="EO34" s="518">
        <v>0</v>
      </c>
      <c r="EP34" s="518">
        <v>0</v>
      </c>
      <c r="EQ34" s="518">
        <v>-3003.2387510207782</v>
      </c>
      <c r="ER34" s="518">
        <v>0</v>
      </c>
      <c r="ES34" s="518">
        <v>5006</v>
      </c>
      <c r="ET34" s="518">
        <v>-623434.01330461411</v>
      </c>
      <c r="EU34" s="518">
        <v>0</v>
      </c>
      <c r="EV34" s="518">
        <v>0</v>
      </c>
      <c r="EW34" s="518">
        <v>0</v>
      </c>
      <c r="EX34" s="518">
        <v>0</v>
      </c>
      <c r="EY34" s="518">
        <v>-100202.82202351312</v>
      </c>
      <c r="EZ34" s="518">
        <v>758492.69934425782</v>
      </c>
      <c r="FB34" s="518">
        <v>0</v>
      </c>
      <c r="FC34" s="518">
        <v>-626437.25205563486</v>
      </c>
      <c r="FF34" s="518">
        <v>748088.21781437763</v>
      </c>
      <c r="FI34" s="488">
        <v>4334.2439962529015</v>
      </c>
      <c r="FK34" s="488">
        <v>214</v>
      </c>
      <c r="FL34" s="488">
        <v>39</v>
      </c>
      <c r="FM34" s="488">
        <v>175</v>
      </c>
    </row>
    <row r="35" spans="1:169" s="488" customFormat="1" x14ac:dyDescent="0.2">
      <c r="A35" s="489" t="s">
        <v>16</v>
      </c>
      <c r="B35" s="489" t="s">
        <v>823</v>
      </c>
      <c r="C35" s="489">
        <v>2446</v>
      </c>
      <c r="D35" s="488" t="s">
        <v>169</v>
      </c>
      <c r="E35" s="490"/>
      <c r="F35" s="490"/>
      <c r="G35" s="490"/>
      <c r="H35" s="490"/>
      <c r="I35" s="490"/>
      <c r="J35" s="490"/>
      <c r="K35" s="490"/>
      <c r="L35" s="490"/>
      <c r="M35" s="490"/>
      <c r="N35" s="528">
        <v>0</v>
      </c>
      <c r="O35" s="529">
        <v>0</v>
      </c>
      <c r="P35" s="530">
        <v>0</v>
      </c>
      <c r="Q35" s="528">
        <v>113</v>
      </c>
      <c r="R35" s="529">
        <v>168.03100000000001</v>
      </c>
      <c r="S35" s="530">
        <v>276887.23322007566</v>
      </c>
      <c r="T35" s="531">
        <v>53</v>
      </c>
      <c r="U35" s="529">
        <v>93.492000000000004</v>
      </c>
      <c r="V35" s="530">
        <v>154059.3176747821</v>
      </c>
      <c r="W35" s="491"/>
      <c r="X35" s="532">
        <v>0</v>
      </c>
      <c r="Y35" s="530">
        <v>0</v>
      </c>
      <c r="Z35" s="529">
        <v>166</v>
      </c>
      <c r="AA35" s="532">
        <v>261.52300000000002</v>
      </c>
      <c r="AB35" s="530">
        <v>430946</v>
      </c>
      <c r="AC35" s="490"/>
      <c r="AD35" s="490"/>
      <c r="AE35" s="490"/>
      <c r="AF35" s="490"/>
      <c r="AG35" s="490"/>
      <c r="AH35" s="490"/>
      <c r="AI35" s="533"/>
      <c r="AJ35" s="530">
        <v>0</v>
      </c>
      <c r="AK35" s="530">
        <v>0</v>
      </c>
      <c r="AL35" s="530">
        <v>3369.3</v>
      </c>
      <c r="AM35" s="534"/>
      <c r="AN35" s="530">
        <v>0</v>
      </c>
      <c r="AO35" s="535">
        <v>25.9</v>
      </c>
      <c r="AP35" s="530">
        <v>996.50400785002796</v>
      </c>
      <c r="AQ35" s="536">
        <v>2</v>
      </c>
      <c r="AR35" s="530">
        <v>22680.611130037629</v>
      </c>
      <c r="AS35" s="490"/>
      <c r="AT35" s="536">
        <v>8</v>
      </c>
      <c r="AU35" s="536">
        <v>8</v>
      </c>
      <c r="AV35" s="537">
        <v>8</v>
      </c>
      <c r="AW35" s="538">
        <v>4805.1820016332449</v>
      </c>
      <c r="AX35" s="539"/>
      <c r="AY35" s="535">
        <v>0</v>
      </c>
      <c r="AZ35" s="540"/>
      <c r="BA35" s="499"/>
      <c r="BB35" s="528">
        <v>6</v>
      </c>
      <c r="BC35" s="528">
        <v>4570.3857566765573</v>
      </c>
      <c r="BD35" s="528">
        <v>9</v>
      </c>
      <c r="BE35" s="538">
        <v>2941.0554981609466</v>
      </c>
      <c r="BF35" s="535">
        <v>171</v>
      </c>
      <c r="BG35" s="535">
        <v>55</v>
      </c>
      <c r="BH35" s="535">
        <v>163</v>
      </c>
      <c r="BI35" s="535">
        <v>47</v>
      </c>
      <c r="BJ35" s="536">
        <v>166</v>
      </c>
      <c r="BK35" s="536">
        <v>45</v>
      </c>
      <c r="BL35" s="541">
        <v>166.67</v>
      </c>
      <c r="BM35" s="541">
        <v>49</v>
      </c>
      <c r="BN35" s="542">
        <v>29.4</v>
      </c>
      <c r="BO35" s="529">
        <v>48.8</v>
      </c>
      <c r="BP35" s="528">
        <v>71966.11217444358</v>
      </c>
      <c r="BQ35" s="536">
        <v>11</v>
      </c>
      <c r="BR35" s="530">
        <v>2210.69</v>
      </c>
      <c r="BS35" s="536">
        <v>11</v>
      </c>
      <c r="BT35" s="530">
        <v>2222.9378616638487</v>
      </c>
      <c r="BU35" s="530">
        <v>266</v>
      </c>
      <c r="BV35" s="530">
        <v>60483.460720011659</v>
      </c>
      <c r="BW35" s="536">
        <v>7</v>
      </c>
      <c r="BX35" s="530">
        <v>5992.8219732683219</v>
      </c>
      <c r="BY35" s="500"/>
      <c r="BZ35" s="282"/>
      <c r="CA35" s="282"/>
      <c r="CB35" s="490"/>
      <c r="CC35" s="490"/>
      <c r="CD35" s="490"/>
      <c r="CE35" s="282"/>
      <c r="CF35" s="490"/>
      <c r="CG35" s="543">
        <v>166</v>
      </c>
      <c r="CH35" s="532" t="e">
        <v>#DIV/0!</v>
      </c>
      <c r="CI35" s="532" t="e">
        <v>#DIV/0!</v>
      </c>
      <c r="CJ35" s="544"/>
      <c r="CK35" s="490"/>
      <c r="CL35" s="545">
        <v>961.86561866125771</v>
      </c>
      <c r="CM35" s="546">
        <v>2</v>
      </c>
      <c r="CN35" s="532">
        <v>1923.7312373225154</v>
      </c>
      <c r="CO35" s="530">
        <v>2753.52</v>
      </c>
      <c r="CP35" s="490"/>
      <c r="CQ35" s="490"/>
      <c r="CR35" s="490"/>
      <c r="CS35" s="490"/>
      <c r="CT35" s="490"/>
      <c r="CU35" s="490"/>
      <c r="CV35" s="490"/>
      <c r="CW35" s="490"/>
      <c r="CX35" s="490"/>
      <c r="CY35" s="547"/>
      <c r="CZ35" s="530">
        <v>0</v>
      </c>
      <c r="DA35" s="506">
        <v>8473</v>
      </c>
      <c r="DB35" s="548"/>
      <c r="DC35" s="537">
        <v>0</v>
      </c>
      <c r="DD35" s="530">
        <v>0</v>
      </c>
      <c r="DE35" s="490"/>
      <c r="DF35" s="529">
        <v>1</v>
      </c>
      <c r="DG35" s="549">
        <v>74722.185859261808</v>
      </c>
      <c r="DH35" s="550"/>
      <c r="DI35" s="530">
        <v>0</v>
      </c>
      <c r="DJ35" s="551"/>
      <c r="DK35" s="552"/>
      <c r="DL35" s="282"/>
      <c r="DM35" s="490"/>
      <c r="DN35" s="509"/>
      <c r="DO35" s="553">
        <v>0</v>
      </c>
      <c r="DP35" s="530">
        <v>0</v>
      </c>
      <c r="DQ35" s="282"/>
      <c r="DR35" s="510"/>
      <c r="DS35" s="282"/>
      <c r="DT35" s="541">
        <v>0</v>
      </c>
      <c r="DU35" s="541">
        <v>0</v>
      </c>
      <c r="DV35" s="490"/>
      <c r="DW35" s="490"/>
      <c r="DX35" s="511">
        <v>117902.5934</v>
      </c>
      <c r="DY35" s="512">
        <v>0</v>
      </c>
      <c r="DZ35" s="513">
        <v>817036.36038300744</v>
      </c>
      <c r="EA35" s="513">
        <v>0</v>
      </c>
      <c r="EB35" s="514">
        <v>0</v>
      </c>
      <c r="EC35" s="514">
        <v>0</v>
      </c>
      <c r="ED35" s="514">
        <v>-3324.639599999995</v>
      </c>
      <c r="EE35" s="494"/>
      <c r="EF35" s="513">
        <v>813711.72078300745</v>
      </c>
      <c r="EG35" s="513">
        <v>805238.72078300745</v>
      </c>
      <c r="EH35" s="515">
        <v>166</v>
      </c>
      <c r="EI35" s="516">
        <v>6962.6892818031374</v>
      </c>
      <c r="EJ35" s="517"/>
      <c r="EL35" s="518"/>
      <c r="EM35" s="518">
        <v>813711.72078300745</v>
      </c>
      <c r="EN35" s="518">
        <v>-117902.5934</v>
      </c>
      <c r="EO35" s="518">
        <v>3324.639599999995</v>
      </c>
      <c r="EP35" s="518">
        <v>0</v>
      </c>
      <c r="EQ35" s="518">
        <v>-4805.1820016332449</v>
      </c>
      <c r="ER35" s="518">
        <v>0</v>
      </c>
      <c r="ES35" s="518">
        <v>0</v>
      </c>
      <c r="ET35" s="518">
        <v>0</v>
      </c>
      <c r="EU35" s="518">
        <v>0</v>
      </c>
      <c r="EV35" s="518">
        <v>0</v>
      </c>
      <c r="EW35" s="518">
        <v>0</v>
      </c>
      <c r="EX35" s="518">
        <v>-22680.611130037629</v>
      </c>
      <c r="EY35" s="518">
        <v>0</v>
      </c>
      <c r="EZ35" s="518">
        <v>671647.97385133663</v>
      </c>
      <c r="FB35" s="518">
        <v>114577.9538</v>
      </c>
      <c r="FC35" s="518">
        <v>-4805.1820016332449</v>
      </c>
      <c r="FF35" s="518">
        <v>576169.47062440007</v>
      </c>
      <c r="FI35" s="488">
        <v>4070.5937809171919</v>
      </c>
      <c r="FK35" s="488">
        <v>165</v>
      </c>
      <c r="FL35" s="488">
        <v>0</v>
      </c>
      <c r="FM35" s="488">
        <v>165</v>
      </c>
    </row>
    <row r="36" spans="1:169" s="488" customFormat="1" x14ac:dyDescent="0.2">
      <c r="A36" s="489" t="s">
        <v>17</v>
      </c>
      <c r="B36" s="489" t="s">
        <v>824</v>
      </c>
      <c r="C36" s="489">
        <v>2447</v>
      </c>
      <c r="D36" s="488" t="s">
        <v>169</v>
      </c>
      <c r="E36" s="490"/>
      <c r="F36" s="490"/>
      <c r="G36" s="490"/>
      <c r="H36" s="490"/>
      <c r="I36" s="490"/>
      <c r="J36" s="490"/>
      <c r="K36" s="490"/>
      <c r="L36" s="490"/>
      <c r="M36" s="490"/>
      <c r="N36" s="528">
        <v>213</v>
      </c>
      <c r="O36" s="529">
        <v>332.1096</v>
      </c>
      <c r="P36" s="530">
        <v>547261.56643611018</v>
      </c>
      <c r="Q36" s="528">
        <v>0</v>
      </c>
      <c r="R36" s="529">
        <v>0</v>
      </c>
      <c r="S36" s="530">
        <v>0</v>
      </c>
      <c r="T36" s="531">
        <v>0</v>
      </c>
      <c r="U36" s="529">
        <v>0</v>
      </c>
      <c r="V36" s="530">
        <v>0</v>
      </c>
      <c r="W36" s="491"/>
      <c r="X36" s="532">
        <v>0</v>
      </c>
      <c r="Y36" s="530">
        <v>0</v>
      </c>
      <c r="Z36" s="529">
        <v>213</v>
      </c>
      <c r="AA36" s="532">
        <v>332.1096</v>
      </c>
      <c r="AB36" s="530">
        <v>547261</v>
      </c>
      <c r="AC36" s="490"/>
      <c r="AD36" s="490"/>
      <c r="AE36" s="490"/>
      <c r="AF36" s="490"/>
      <c r="AG36" s="490"/>
      <c r="AH36" s="490"/>
      <c r="AI36" s="533"/>
      <c r="AJ36" s="530">
        <v>0</v>
      </c>
      <c r="AK36" s="530">
        <v>0</v>
      </c>
      <c r="AL36" s="530">
        <v>4323.26</v>
      </c>
      <c r="AM36" s="534"/>
      <c r="AN36" s="530">
        <v>0</v>
      </c>
      <c r="AO36" s="535">
        <v>52.5</v>
      </c>
      <c r="AP36" s="530">
        <v>2019.9405564527594</v>
      </c>
      <c r="AQ36" s="536">
        <v>0</v>
      </c>
      <c r="AR36" s="530">
        <v>0</v>
      </c>
      <c r="AS36" s="490"/>
      <c r="AT36" s="536">
        <v>0</v>
      </c>
      <c r="AU36" s="536">
        <v>0</v>
      </c>
      <c r="AV36" s="537">
        <v>0</v>
      </c>
      <c r="AW36" s="538">
        <v>0</v>
      </c>
      <c r="AX36" s="539"/>
      <c r="AY36" s="535">
        <v>0</v>
      </c>
      <c r="AZ36" s="540"/>
      <c r="BA36" s="499"/>
      <c r="BB36" s="528">
        <v>4</v>
      </c>
      <c r="BC36" s="528">
        <v>3046.9238377843717</v>
      </c>
      <c r="BD36" s="528">
        <v>8</v>
      </c>
      <c r="BE36" s="538">
        <v>2614.2715539208416</v>
      </c>
      <c r="BF36" s="535">
        <v>199</v>
      </c>
      <c r="BG36" s="535">
        <v>54</v>
      </c>
      <c r="BH36" s="535">
        <v>224</v>
      </c>
      <c r="BI36" s="535">
        <v>61</v>
      </c>
      <c r="BJ36" s="536">
        <v>213</v>
      </c>
      <c r="BK36" s="536">
        <v>70</v>
      </c>
      <c r="BL36" s="541">
        <v>212</v>
      </c>
      <c r="BM36" s="541">
        <v>61.67</v>
      </c>
      <c r="BN36" s="542">
        <v>29.09</v>
      </c>
      <c r="BO36" s="529">
        <v>61.96</v>
      </c>
      <c r="BP36" s="528">
        <v>91373.367014928779</v>
      </c>
      <c r="BQ36" s="536">
        <v>8</v>
      </c>
      <c r="BR36" s="530">
        <v>1607.77</v>
      </c>
      <c r="BS36" s="536">
        <v>12</v>
      </c>
      <c r="BT36" s="530">
        <v>2425.0231218151075</v>
      </c>
      <c r="BU36" s="530">
        <v>336</v>
      </c>
      <c r="BV36" s="530">
        <v>76400.160909488404</v>
      </c>
      <c r="BW36" s="536">
        <v>12</v>
      </c>
      <c r="BX36" s="530">
        <v>10273.40909703141</v>
      </c>
      <c r="BY36" s="500"/>
      <c r="BZ36" s="282"/>
      <c r="CA36" s="282"/>
      <c r="CB36" s="490"/>
      <c r="CC36" s="490"/>
      <c r="CD36" s="490"/>
      <c r="CE36" s="282"/>
      <c r="CF36" s="490"/>
      <c r="CG36" s="543">
        <v>213</v>
      </c>
      <c r="CH36" s="532" t="e">
        <v>#DIV/0!</v>
      </c>
      <c r="CI36" s="532" t="e">
        <v>#DIV/0!</v>
      </c>
      <c r="CJ36" s="544"/>
      <c r="CK36" s="490"/>
      <c r="CL36" s="545">
        <v>1402.59</v>
      </c>
      <c r="CM36" s="546">
        <v>2</v>
      </c>
      <c r="CN36" s="532">
        <v>2805.18</v>
      </c>
      <c r="CO36" s="530">
        <v>4015.17</v>
      </c>
      <c r="CP36" s="490"/>
      <c r="CQ36" s="490"/>
      <c r="CR36" s="490"/>
      <c r="CS36" s="490"/>
      <c r="CT36" s="490"/>
      <c r="CU36" s="490"/>
      <c r="CV36" s="490"/>
      <c r="CW36" s="490"/>
      <c r="CX36" s="490"/>
      <c r="CY36" s="547"/>
      <c r="CZ36" s="530">
        <v>0</v>
      </c>
      <c r="DA36" s="506">
        <v>8473</v>
      </c>
      <c r="DB36" s="548"/>
      <c r="DC36" s="537">
        <v>0</v>
      </c>
      <c r="DD36" s="530">
        <v>0</v>
      </c>
      <c r="DE36" s="490"/>
      <c r="DF36" s="529">
        <v>1</v>
      </c>
      <c r="DG36" s="549">
        <v>70073.495851086889</v>
      </c>
      <c r="DH36" s="550"/>
      <c r="DI36" s="530">
        <v>0</v>
      </c>
      <c r="DJ36" s="551"/>
      <c r="DK36" s="552"/>
      <c r="DL36" s="282"/>
      <c r="DM36" s="490"/>
      <c r="DN36" s="509"/>
      <c r="DO36" s="553">
        <v>0</v>
      </c>
      <c r="DP36" s="530">
        <v>0</v>
      </c>
      <c r="DQ36" s="282"/>
      <c r="DR36" s="510"/>
      <c r="DS36" s="282"/>
      <c r="DT36" s="541">
        <v>0</v>
      </c>
      <c r="DU36" s="541">
        <v>0</v>
      </c>
      <c r="DV36" s="490"/>
      <c r="DW36" s="490"/>
      <c r="DX36" s="511"/>
      <c r="DY36" s="512">
        <v>0</v>
      </c>
      <c r="DZ36" s="513">
        <v>823906.79194250866</v>
      </c>
      <c r="EA36" s="513">
        <v>9044.6920742323855</v>
      </c>
      <c r="EB36" s="514">
        <v>1001</v>
      </c>
      <c r="EC36" s="514">
        <v>0</v>
      </c>
      <c r="ED36" s="514">
        <v>0</v>
      </c>
      <c r="EE36" s="494"/>
      <c r="EF36" s="513">
        <v>833952.48401674104</v>
      </c>
      <c r="EG36" s="513">
        <v>825479.48401674104</v>
      </c>
      <c r="EH36" s="515">
        <v>213</v>
      </c>
      <c r="EI36" s="516">
        <v>8934.0531146028206</v>
      </c>
      <c r="EJ36" s="517"/>
      <c r="EL36" s="518"/>
      <c r="EM36" s="518">
        <v>833952.48401674104</v>
      </c>
      <c r="EN36" s="518">
        <v>0</v>
      </c>
      <c r="EO36" s="518">
        <v>0</v>
      </c>
      <c r="EP36" s="518">
        <v>0</v>
      </c>
      <c r="EQ36" s="518">
        <v>0</v>
      </c>
      <c r="ER36" s="518">
        <v>0</v>
      </c>
      <c r="ES36" s="518">
        <v>-1001</v>
      </c>
      <c r="ET36" s="518">
        <v>0</v>
      </c>
      <c r="EU36" s="518">
        <v>0</v>
      </c>
      <c r="EV36" s="518">
        <v>0</v>
      </c>
      <c r="EW36" s="518">
        <v>0</v>
      </c>
      <c r="EX36" s="518">
        <v>0</v>
      </c>
      <c r="EY36" s="518">
        <v>0</v>
      </c>
      <c r="EZ36" s="518">
        <v>832951.48401674104</v>
      </c>
      <c r="FB36" s="518">
        <v>0</v>
      </c>
      <c r="FC36" s="518">
        <v>0</v>
      </c>
      <c r="FF36" s="518">
        <v>729962.63085923309</v>
      </c>
      <c r="FI36" s="488">
        <v>3947.6373650082514</v>
      </c>
      <c r="FK36" s="488">
        <v>211</v>
      </c>
      <c r="FL36" s="488">
        <v>0</v>
      </c>
      <c r="FM36" s="488">
        <v>211</v>
      </c>
    </row>
    <row r="37" spans="1:169" s="488" customFormat="1" x14ac:dyDescent="0.2">
      <c r="A37" s="489" t="s">
        <v>18</v>
      </c>
      <c r="B37" s="489" t="s">
        <v>825</v>
      </c>
      <c r="C37" s="489">
        <v>2512</v>
      </c>
      <c r="D37" s="488" t="s">
        <v>169</v>
      </c>
      <c r="E37" s="490"/>
      <c r="F37" s="490"/>
      <c r="G37" s="490"/>
      <c r="H37" s="490"/>
      <c r="I37" s="490"/>
      <c r="J37" s="490"/>
      <c r="K37" s="490"/>
      <c r="L37" s="490"/>
      <c r="M37" s="490"/>
      <c r="N37" s="528">
        <v>117</v>
      </c>
      <c r="O37" s="529">
        <v>182.4264</v>
      </c>
      <c r="P37" s="530">
        <v>300608.46607053938</v>
      </c>
      <c r="Q37" s="528">
        <v>59</v>
      </c>
      <c r="R37" s="529">
        <v>87.733000000000004</v>
      </c>
      <c r="S37" s="530">
        <v>144569.44035384481</v>
      </c>
      <c r="T37" s="531">
        <v>30</v>
      </c>
      <c r="U37" s="529">
        <v>52.92</v>
      </c>
      <c r="V37" s="530">
        <v>87203.387363084214</v>
      </c>
      <c r="W37" s="491"/>
      <c r="X37" s="532">
        <v>0</v>
      </c>
      <c r="Y37" s="530">
        <v>0</v>
      </c>
      <c r="Z37" s="529">
        <v>206</v>
      </c>
      <c r="AA37" s="532">
        <v>323.07940000000002</v>
      </c>
      <c r="AB37" s="530">
        <v>532380</v>
      </c>
      <c r="AC37" s="490"/>
      <c r="AD37" s="490"/>
      <c r="AE37" s="490"/>
      <c r="AF37" s="490"/>
      <c r="AG37" s="490"/>
      <c r="AH37" s="490"/>
      <c r="AI37" s="533"/>
      <c r="AJ37" s="530">
        <v>0</v>
      </c>
      <c r="AK37" s="530">
        <v>0</v>
      </c>
      <c r="AL37" s="530">
        <v>4181.18</v>
      </c>
      <c r="AM37" s="534"/>
      <c r="AN37" s="530">
        <v>0</v>
      </c>
      <c r="AO37" s="535">
        <v>60.2</v>
      </c>
      <c r="AP37" s="530">
        <v>2316.1985047324979</v>
      </c>
      <c r="AQ37" s="536">
        <v>1</v>
      </c>
      <c r="AR37" s="530">
        <v>11340.305565018814</v>
      </c>
      <c r="AS37" s="490"/>
      <c r="AT37" s="536">
        <v>5</v>
      </c>
      <c r="AU37" s="536">
        <v>5</v>
      </c>
      <c r="AV37" s="537">
        <v>5</v>
      </c>
      <c r="AW37" s="538">
        <v>3003.2387510207782</v>
      </c>
      <c r="AX37" s="539">
        <v>15</v>
      </c>
      <c r="AY37" s="535">
        <v>9009.7162530623336</v>
      </c>
      <c r="AZ37" s="540"/>
      <c r="BA37" s="499"/>
      <c r="BB37" s="528">
        <v>1</v>
      </c>
      <c r="BC37" s="528">
        <v>761.73095944609292</v>
      </c>
      <c r="BD37" s="528">
        <v>9</v>
      </c>
      <c r="BE37" s="538">
        <v>2941.0554981609466</v>
      </c>
      <c r="BF37" s="535">
        <v>202</v>
      </c>
      <c r="BG37" s="535">
        <v>15</v>
      </c>
      <c r="BH37" s="535">
        <v>208</v>
      </c>
      <c r="BI37" s="535">
        <v>21</v>
      </c>
      <c r="BJ37" s="536">
        <v>206</v>
      </c>
      <c r="BK37" s="536">
        <v>19</v>
      </c>
      <c r="BL37" s="541">
        <v>205.33</v>
      </c>
      <c r="BM37" s="541">
        <v>18.329999999999998</v>
      </c>
      <c r="BN37" s="542">
        <v>8.93</v>
      </c>
      <c r="BO37" s="529">
        <v>18.399999999999999</v>
      </c>
      <c r="BP37" s="528">
        <v>27134.763606757413</v>
      </c>
      <c r="BQ37" s="536">
        <v>40</v>
      </c>
      <c r="BR37" s="530">
        <v>8038.86</v>
      </c>
      <c r="BS37" s="536">
        <v>26</v>
      </c>
      <c r="BT37" s="530">
        <v>5254.2167639327336</v>
      </c>
      <c r="BU37" s="530">
        <v>24</v>
      </c>
      <c r="BV37" s="530">
        <v>5457.1543506777434</v>
      </c>
      <c r="BW37" s="536">
        <v>1</v>
      </c>
      <c r="BX37" s="530">
        <v>856.11742475261747</v>
      </c>
      <c r="BY37" s="500"/>
      <c r="BZ37" s="282"/>
      <c r="CA37" s="282"/>
      <c r="CB37" s="490"/>
      <c r="CC37" s="490"/>
      <c r="CD37" s="490"/>
      <c r="CE37" s="282"/>
      <c r="CF37" s="490"/>
      <c r="CG37" s="543">
        <v>206</v>
      </c>
      <c r="CH37" s="532" t="e">
        <v>#DIV/0!</v>
      </c>
      <c r="CI37" s="532" t="e">
        <v>#DIV/0!</v>
      </c>
      <c r="CJ37" s="544"/>
      <c r="CK37" s="490"/>
      <c r="CL37" s="545">
        <v>951.25180928863142</v>
      </c>
      <c r="CM37" s="546">
        <v>3</v>
      </c>
      <c r="CN37" s="532">
        <v>2853.7554278658945</v>
      </c>
      <c r="CO37" s="530">
        <v>4084.7</v>
      </c>
      <c r="CP37" s="490"/>
      <c r="CQ37" s="490"/>
      <c r="CR37" s="490"/>
      <c r="CS37" s="490"/>
      <c r="CT37" s="490"/>
      <c r="CU37" s="490"/>
      <c r="CV37" s="490"/>
      <c r="CW37" s="490"/>
      <c r="CX37" s="490"/>
      <c r="CY37" s="547"/>
      <c r="CZ37" s="530">
        <v>0</v>
      </c>
      <c r="DA37" s="506">
        <v>14427</v>
      </c>
      <c r="DB37" s="548"/>
      <c r="DC37" s="537">
        <v>0</v>
      </c>
      <c r="DD37" s="530">
        <v>0</v>
      </c>
      <c r="DE37" s="490"/>
      <c r="DF37" s="529">
        <v>1</v>
      </c>
      <c r="DG37" s="549">
        <v>70073.495851086889</v>
      </c>
      <c r="DH37" s="550"/>
      <c r="DI37" s="530">
        <v>0</v>
      </c>
      <c r="DJ37" s="551"/>
      <c r="DK37" s="552"/>
      <c r="DL37" s="282"/>
      <c r="DM37" s="490"/>
      <c r="DN37" s="509"/>
      <c r="DO37" s="553">
        <v>0</v>
      </c>
      <c r="DP37" s="530">
        <v>0</v>
      </c>
      <c r="DQ37" s="282"/>
      <c r="DR37" s="510"/>
      <c r="DS37" s="282"/>
      <c r="DT37" s="541">
        <v>0</v>
      </c>
      <c r="DU37" s="541">
        <v>0</v>
      </c>
      <c r="DV37" s="490"/>
      <c r="DW37" s="490"/>
      <c r="DX37" s="511">
        <v>54307.421799999996</v>
      </c>
      <c r="DY37" s="512">
        <v>0</v>
      </c>
      <c r="DZ37" s="513">
        <v>755567.15532864875</v>
      </c>
      <c r="EA37" s="513">
        <v>30282.73187580856</v>
      </c>
      <c r="EB37" s="514">
        <v>-4730</v>
      </c>
      <c r="EC37" s="514">
        <v>0</v>
      </c>
      <c r="ED37" s="514">
        <v>-1223.1618000000017</v>
      </c>
      <c r="EE37" s="494"/>
      <c r="EF37" s="513">
        <v>779896.72540445731</v>
      </c>
      <c r="EG37" s="513">
        <v>765469.72540445731</v>
      </c>
      <c r="EH37" s="515">
        <v>206</v>
      </c>
      <c r="EI37" s="516">
        <v>8640.4457352496775</v>
      </c>
      <c r="EJ37" s="517"/>
      <c r="EL37" s="518"/>
      <c r="EM37" s="518">
        <v>779896.72540445731</v>
      </c>
      <c r="EN37" s="518">
        <v>-54307.421799999996</v>
      </c>
      <c r="EO37" s="518">
        <v>1223.1618000000017</v>
      </c>
      <c r="EP37" s="518">
        <v>-2139.8378303354148</v>
      </c>
      <c r="EQ37" s="518">
        <v>-3003.2387510207782</v>
      </c>
      <c r="ER37" s="518">
        <v>-9009.7162530623336</v>
      </c>
      <c r="ES37" s="518">
        <v>4730</v>
      </c>
      <c r="ET37" s="518">
        <v>0</v>
      </c>
      <c r="EU37" s="518">
        <v>0</v>
      </c>
      <c r="EV37" s="518">
        <v>0</v>
      </c>
      <c r="EW37" s="518">
        <v>0</v>
      </c>
      <c r="EX37" s="518">
        <v>-11340.305565018814</v>
      </c>
      <c r="EY37" s="518">
        <v>0</v>
      </c>
      <c r="EZ37" s="518">
        <v>706049.36700502003</v>
      </c>
      <c r="FB37" s="518">
        <v>55224.097830335406</v>
      </c>
      <c r="FC37" s="518">
        <v>-12012.955004083113</v>
      </c>
      <c r="FF37" s="518">
        <v>574628.62634163373</v>
      </c>
      <c r="FI37" s="488">
        <v>3478.0756995321185</v>
      </c>
      <c r="FK37" s="488">
        <v>203</v>
      </c>
      <c r="FL37" s="488">
        <v>0</v>
      </c>
      <c r="FM37" s="488">
        <v>203</v>
      </c>
    </row>
    <row r="38" spans="1:169" s="488" customFormat="1" x14ac:dyDescent="0.2">
      <c r="A38" s="489" t="s">
        <v>19</v>
      </c>
      <c r="B38" s="489" t="s">
        <v>826</v>
      </c>
      <c r="C38" s="489">
        <v>2456</v>
      </c>
      <c r="D38" s="488" t="s">
        <v>169</v>
      </c>
      <c r="E38" s="490"/>
      <c r="F38" s="490"/>
      <c r="G38" s="490"/>
      <c r="H38" s="490"/>
      <c r="I38" s="490"/>
      <c r="J38" s="490"/>
      <c r="K38" s="490"/>
      <c r="L38" s="490"/>
      <c r="M38" s="490"/>
      <c r="N38" s="528">
        <v>0</v>
      </c>
      <c r="O38" s="529">
        <v>0</v>
      </c>
      <c r="P38" s="530">
        <v>0</v>
      </c>
      <c r="Q38" s="528">
        <v>119</v>
      </c>
      <c r="R38" s="529">
        <v>176.953</v>
      </c>
      <c r="S38" s="530">
        <v>291589.21020521241</v>
      </c>
      <c r="T38" s="531">
        <v>60</v>
      </c>
      <c r="U38" s="529">
        <v>105.84</v>
      </c>
      <c r="V38" s="530">
        <v>174406.77472616843</v>
      </c>
      <c r="W38" s="491"/>
      <c r="X38" s="532">
        <v>0</v>
      </c>
      <c r="Y38" s="530">
        <v>0</v>
      </c>
      <c r="Z38" s="529">
        <v>179</v>
      </c>
      <c r="AA38" s="532">
        <v>282.79300000000001</v>
      </c>
      <c r="AB38" s="530">
        <v>465996</v>
      </c>
      <c r="AC38" s="490"/>
      <c r="AD38" s="490"/>
      <c r="AE38" s="490"/>
      <c r="AF38" s="490"/>
      <c r="AG38" s="490"/>
      <c r="AH38" s="490"/>
      <c r="AI38" s="533"/>
      <c r="AJ38" s="530">
        <v>0</v>
      </c>
      <c r="AK38" s="530">
        <v>0</v>
      </c>
      <c r="AL38" s="530">
        <v>3633.16</v>
      </c>
      <c r="AM38" s="534"/>
      <c r="AN38" s="530">
        <v>0</v>
      </c>
      <c r="AO38" s="535">
        <v>78.400000000000006</v>
      </c>
      <c r="AP38" s="530">
        <v>3016.444564302788</v>
      </c>
      <c r="AQ38" s="536">
        <v>2</v>
      </c>
      <c r="AR38" s="530">
        <v>22680.611130037629</v>
      </c>
      <c r="AS38" s="490"/>
      <c r="AT38" s="536">
        <v>10</v>
      </c>
      <c r="AU38" s="536">
        <v>0</v>
      </c>
      <c r="AV38" s="537">
        <v>4.166666666666667</v>
      </c>
      <c r="AW38" s="538">
        <v>2502.698959183982</v>
      </c>
      <c r="AX38" s="539"/>
      <c r="AY38" s="535">
        <v>0</v>
      </c>
      <c r="AZ38" s="540"/>
      <c r="BA38" s="499"/>
      <c r="BB38" s="528">
        <v>5</v>
      </c>
      <c r="BC38" s="528">
        <v>3808.6547972304647</v>
      </c>
      <c r="BD38" s="528">
        <v>14</v>
      </c>
      <c r="BE38" s="538">
        <v>4574.9752193614731</v>
      </c>
      <c r="BF38" s="535">
        <v>174</v>
      </c>
      <c r="BG38" s="535">
        <v>16</v>
      </c>
      <c r="BH38" s="535">
        <v>167</v>
      </c>
      <c r="BI38" s="535">
        <v>11</v>
      </c>
      <c r="BJ38" s="536">
        <v>179</v>
      </c>
      <c r="BK38" s="536">
        <v>11</v>
      </c>
      <c r="BL38" s="541">
        <v>173.33</v>
      </c>
      <c r="BM38" s="541">
        <v>12.67</v>
      </c>
      <c r="BN38" s="542">
        <v>7.31</v>
      </c>
      <c r="BO38" s="529">
        <v>13.08</v>
      </c>
      <c r="BP38" s="528">
        <v>19289.277607412336</v>
      </c>
      <c r="BQ38" s="536">
        <v>43</v>
      </c>
      <c r="BR38" s="530">
        <v>8641.77</v>
      </c>
      <c r="BS38" s="536">
        <v>50</v>
      </c>
      <c r="BT38" s="530">
        <v>10104.263007562949</v>
      </c>
      <c r="BU38" s="530">
        <v>61</v>
      </c>
      <c r="BV38" s="530">
        <v>13870.267307972599</v>
      </c>
      <c r="BW38" s="536">
        <v>1</v>
      </c>
      <c r="BX38" s="530">
        <v>856.11742475261747</v>
      </c>
      <c r="BY38" s="500"/>
      <c r="BZ38" s="282"/>
      <c r="CA38" s="282"/>
      <c r="CB38" s="490"/>
      <c r="CC38" s="490"/>
      <c r="CD38" s="490"/>
      <c r="CE38" s="282"/>
      <c r="CF38" s="490"/>
      <c r="CG38" s="543">
        <v>179</v>
      </c>
      <c r="CH38" s="532" t="e">
        <v>#DIV/0!</v>
      </c>
      <c r="CI38" s="532" t="e">
        <v>#DIV/0!</v>
      </c>
      <c r="CJ38" s="544"/>
      <c r="CK38" s="490"/>
      <c r="CL38" s="545">
        <v>1002.8974983591661</v>
      </c>
      <c r="CM38" s="546">
        <v>2</v>
      </c>
      <c r="CN38" s="532">
        <v>2005.7949967183322</v>
      </c>
      <c r="CO38" s="530">
        <v>2870.98</v>
      </c>
      <c r="CP38" s="490"/>
      <c r="CQ38" s="490"/>
      <c r="CR38" s="490"/>
      <c r="CS38" s="490"/>
      <c r="CT38" s="490"/>
      <c r="CU38" s="490"/>
      <c r="CV38" s="490"/>
      <c r="CW38" s="490"/>
      <c r="CX38" s="490"/>
      <c r="CY38" s="547"/>
      <c r="CZ38" s="530">
        <v>0</v>
      </c>
      <c r="DA38" s="506">
        <v>8587.5</v>
      </c>
      <c r="DB38" s="548"/>
      <c r="DC38" s="537">
        <v>0</v>
      </c>
      <c r="DD38" s="530">
        <v>0</v>
      </c>
      <c r="DE38" s="490"/>
      <c r="DF38" s="529">
        <v>1</v>
      </c>
      <c r="DG38" s="549">
        <v>70073.495851086889</v>
      </c>
      <c r="DH38" s="550"/>
      <c r="DI38" s="530">
        <v>0</v>
      </c>
      <c r="DJ38" s="551"/>
      <c r="DK38" s="552"/>
      <c r="DL38" s="282"/>
      <c r="DM38" s="490"/>
      <c r="DN38" s="509"/>
      <c r="DO38" s="553">
        <v>0</v>
      </c>
      <c r="DP38" s="530">
        <v>0</v>
      </c>
      <c r="DQ38" s="282"/>
      <c r="DR38" s="510"/>
      <c r="DS38" s="282"/>
      <c r="DT38" s="541">
        <v>0</v>
      </c>
      <c r="DU38" s="541">
        <v>0</v>
      </c>
      <c r="DV38" s="490"/>
      <c r="DW38" s="490"/>
      <c r="DX38" s="511">
        <v>101451.56</v>
      </c>
      <c r="DY38" s="512">
        <v>0</v>
      </c>
      <c r="DZ38" s="513">
        <v>741957.77586890385</v>
      </c>
      <c r="EA38" s="513">
        <v>0</v>
      </c>
      <c r="EB38" s="514">
        <v>6257</v>
      </c>
      <c r="EC38" s="514">
        <v>0</v>
      </c>
      <c r="ED38" s="514">
        <v>-2196.2480000000069</v>
      </c>
      <c r="EE38" s="494"/>
      <c r="EF38" s="513">
        <v>746018.52786890382</v>
      </c>
      <c r="EG38" s="513">
        <v>737431.02786890382</v>
      </c>
      <c r="EH38" s="515">
        <v>179</v>
      </c>
      <c r="EI38" s="516">
        <v>7507.9601291732633</v>
      </c>
      <c r="EJ38" s="517"/>
      <c r="EL38" s="518"/>
      <c r="EM38" s="518">
        <v>746018.52786890382</v>
      </c>
      <c r="EN38" s="518">
        <v>-101451.56</v>
      </c>
      <c r="EO38" s="518">
        <v>2196.2480000000069</v>
      </c>
      <c r="EP38" s="518">
        <v>0</v>
      </c>
      <c r="EQ38" s="518">
        <v>-2502.698959183982</v>
      </c>
      <c r="ER38" s="518">
        <v>0</v>
      </c>
      <c r="ES38" s="518">
        <v>-6257</v>
      </c>
      <c r="ET38" s="518">
        <v>0</v>
      </c>
      <c r="EU38" s="518">
        <v>0</v>
      </c>
      <c r="EV38" s="518">
        <v>0</v>
      </c>
      <c r="EW38" s="518">
        <v>0</v>
      </c>
      <c r="EX38" s="518">
        <v>-22680.611130037629</v>
      </c>
      <c r="EY38" s="518">
        <v>0</v>
      </c>
      <c r="EZ38" s="518">
        <v>615322.90577968233</v>
      </c>
      <c r="FB38" s="518">
        <v>99255.311999999991</v>
      </c>
      <c r="FC38" s="518">
        <v>-2502.6989591839811</v>
      </c>
      <c r="FF38" s="518">
        <v>512462.08713736798</v>
      </c>
      <c r="FI38" s="488">
        <v>3496.1528737481949</v>
      </c>
      <c r="FK38" s="488">
        <v>176</v>
      </c>
      <c r="FL38" s="488">
        <v>0</v>
      </c>
      <c r="FM38" s="488">
        <v>176</v>
      </c>
    </row>
    <row r="39" spans="1:169" s="488" customFormat="1" x14ac:dyDescent="0.2">
      <c r="A39" s="489" t="s">
        <v>20</v>
      </c>
      <c r="B39" s="489" t="s">
        <v>827</v>
      </c>
      <c r="C39" s="489">
        <v>2449</v>
      </c>
      <c r="D39" s="488" t="s">
        <v>169</v>
      </c>
      <c r="E39" s="490"/>
      <c r="F39" s="490"/>
      <c r="G39" s="490"/>
      <c r="H39" s="490"/>
      <c r="I39" s="490"/>
      <c r="J39" s="490"/>
      <c r="K39" s="490"/>
      <c r="L39" s="490"/>
      <c r="M39" s="490"/>
      <c r="N39" s="528">
        <v>0</v>
      </c>
      <c r="O39" s="529">
        <v>0</v>
      </c>
      <c r="P39" s="530">
        <v>0</v>
      </c>
      <c r="Q39" s="528">
        <v>170</v>
      </c>
      <c r="R39" s="529">
        <v>252.79</v>
      </c>
      <c r="S39" s="530">
        <v>416556.01457887486</v>
      </c>
      <c r="T39" s="531">
        <v>90</v>
      </c>
      <c r="U39" s="529">
        <v>158.76</v>
      </c>
      <c r="V39" s="530">
        <v>261610.16208925261</v>
      </c>
      <c r="W39" s="491"/>
      <c r="X39" s="532">
        <v>0</v>
      </c>
      <c r="Y39" s="530">
        <v>0</v>
      </c>
      <c r="Z39" s="529">
        <v>260</v>
      </c>
      <c r="AA39" s="532">
        <v>411.55</v>
      </c>
      <c r="AB39" s="530">
        <v>678166</v>
      </c>
      <c r="AC39" s="490"/>
      <c r="AD39" s="490"/>
      <c r="AE39" s="490"/>
      <c r="AF39" s="490"/>
      <c r="AG39" s="490"/>
      <c r="AH39" s="490"/>
      <c r="AI39" s="533"/>
      <c r="AJ39" s="530">
        <v>0</v>
      </c>
      <c r="AK39" s="530">
        <v>0</v>
      </c>
      <c r="AL39" s="530">
        <v>5277.22</v>
      </c>
      <c r="AM39" s="534"/>
      <c r="AN39" s="530">
        <v>0</v>
      </c>
      <c r="AO39" s="535">
        <v>77</v>
      </c>
      <c r="AP39" s="530">
        <v>2962.5794827973805</v>
      </c>
      <c r="AQ39" s="536">
        <v>3</v>
      </c>
      <c r="AR39" s="530">
        <v>34020.916695056439</v>
      </c>
      <c r="AS39" s="490"/>
      <c r="AT39" s="536">
        <v>17.5</v>
      </c>
      <c r="AU39" s="536">
        <v>0</v>
      </c>
      <c r="AV39" s="537">
        <v>7.291666666666667</v>
      </c>
      <c r="AW39" s="538">
        <v>4379.7231785719678</v>
      </c>
      <c r="AX39" s="539"/>
      <c r="AY39" s="535">
        <v>0</v>
      </c>
      <c r="AZ39" s="540"/>
      <c r="BA39" s="499"/>
      <c r="BB39" s="528">
        <v>10</v>
      </c>
      <c r="BC39" s="528">
        <v>7617.3095944609295</v>
      </c>
      <c r="BD39" s="528">
        <v>11</v>
      </c>
      <c r="BE39" s="538">
        <v>3594.6233866411571</v>
      </c>
      <c r="BF39" s="535">
        <v>243</v>
      </c>
      <c r="BG39" s="535">
        <v>47</v>
      </c>
      <c r="BH39" s="535">
        <v>253</v>
      </c>
      <c r="BI39" s="535">
        <v>52</v>
      </c>
      <c r="BJ39" s="536">
        <v>260</v>
      </c>
      <c r="BK39" s="536">
        <v>55</v>
      </c>
      <c r="BL39" s="541">
        <v>252</v>
      </c>
      <c r="BM39" s="541">
        <v>51.33</v>
      </c>
      <c r="BN39" s="542">
        <v>20.37</v>
      </c>
      <c r="BO39" s="529">
        <v>52.96</v>
      </c>
      <c r="BP39" s="528">
        <v>78100.928294232217</v>
      </c>
      <c r="BQ39" s="536">
        <v>11</v>
      </c>
      <c r="BR39" s="530">
        <v>2210.69</v>
      </c>
      <c r="BS39" s="536">
        <v>10</v>
      </c>
      <c r="BT39" s="530">
        <v>2020.8526015125899</v>
      </c>
      <c r="BU39" s="530">
        <v>181</v>
      </c>
      <c r="BV39" s="530">
        <v>41156.03906136132</v>
      </c>
      <c r="BW39" s="536">
        <v>5</v>
      </c>
      <c r="BX39" s="530">
        <v>4280.5871237630872</v>
      </c>
      <c r="BY39" s="500"/>
      <c r="BZ39" s="282"/>
      <c r="CA39" s="282"/>
      <c r="CB39" s="490"/>
      <c r="CC39" s="490"/>
      <c r="CD39" s="490"/>
      <c r="CE39" s="282"/>
      <c r="CF39" s="490"/>
      <c r="CG39" s="543">
        <v>260</v>
      </c>
      <c r="CH39" s="532" t="e">
        <v>#DIV/0!</v>
      </c>
      <c r="CI39" s="532" t="e">
        <v>#DIV/0!</v>
      </c>
      <c r="CJ39" s="544"/>
      <c r="CK39" s="490"/>
      <c r="CL39" s="545">
        <v>1673.821855259544</v>
      </c>
      <c r="CM39" s="546">
        <v>3</v>
      </c>
      <c r="CN39" s="532">
        <v>5021.4655657786316</v>
      </c>
      <c r="CO39" s="530">
        <v>7187.43</v>
      </c>
      <c r="CP39" s="490"/>
      <c r="CQ39" s="490"/>
      <c r="CR39" s="490"/>
      <c r="CS39" s="490"/>
      <c r="CT39" s="490"/>
      <c r="CU39" s="490"/>
      <c r="CV39" s="490"/>
      <c r="CW39" s="490"/>
      <c r="CX39" s="490"/>
      <c r="CY39" s="547"/>
      <c r="CZ39" s="530">
        <v>0</v>
      </c>
      <c r="DA39" s="506">
        <v>11106.5</v>
      </c>
      <c r="DB39" s="548"/>
      <c r="DC39" s="537">
        <v>0</v>
      </c>
      <c r="DD39" s="530">
        <v>0</v>
      </c>
      <c r="DE39" s="490"/>
      <c r="DF39" s="529">
        <v>1</v>
      </c>
      <c r="DG39" s="549">
        <v>70073.495851086889</v>
      </c>
      <c r="DH39" s="550"/>
      <c r="DI39" s="530">
        <v>0</v>
      </c>
      <c r="DJ39" s="551"/>
      <c r="DK39" s="552"/>
      <c r="DL39" s="282"/>
      <c r="DM39" s="490"/>
      <c r="DN39" s="509"/>
      <c r="DO39" s="553">
        <v>0</v>
      </c>
      <c r="DP39" s="530">
        <v>0</v>
      </c>
      <c r="DQ39" s="282"/>
      <c r="DR39" s="510"/>
      <c r="DS39" s="282"/>
      <c r="DT39" s="541">
        <v>0</v>
      </c>
      <c r="DU39" s="541">
        <v>0</v>
      </c>
      <c r="DV39" s="490"/>
      <c r="DW39" s="490"/>
      <c r="DX39" s="511">
        <v>163827.63519999999</v>
      </c>
      <c r="DY39" s="512">
        <v>6770.3555000000006</v>
      </c>
      <c r="DZ39" s="513">
        <v>1122752.885969484</v>
      </c>
      <c r="EA39" s="513">
        <v>0</v>
      </c>
      <c r="EB39" s="514">
        <v>0</v>
      </c>
      <c r="EC39" s="514">
        <v>0</v>
      </c>
      <c r="ED39" s="514">
        <v>-7216.5017999999982</v>
      </c>
      <c r="EE39" s="494"/>
      <c r="EF39" s="513">
        <v>1115536.384169484</v>
      </c>
      <c r="EG39" s="513">
        <v>1104429.884169484</v>
      </c>
      <c r="EH39" s="515">
        <v>260</v>
      </c>
      <c r="EI39" s="516">
        <v>10905.416947402506</v>
      </c>
      <c r="EJ39" s="517"/>
      <c r="EL39" s="518"/>
      <c r="EM39" s="518">
        <v>1115536.384169484</v>
      </c>
      <c r="EN39" s="518">
        <v>-163827.63519999999</v>
      </c>
      <c r="EO39" s="518">
        <v>7216.5017999999982</v>
      </c>
      <c r="EP39" s="518">
        <v>0</v>
      </c>
      <c r="EQ39" s="518">
        <v>-4379.7231785719678</v>
      </c>
      <c r="ER39" s="518">
        <v>0</v>
      </c>
      <c r="ES39" s="518">
        <v>0</v>
      </c>
      <c r="ET39" s="518">
        <v>0</v>
      </c>
      <c r="EU39" s="518">
        <v>0</v>
      </c>
      <c r="EV39" s="518">
        <v>0</v>
      </c>
      <c r="EW39" s="518">
        <v>0</v>
      </c>
      <c r="EX39" s="518">
        <v>-34020.916695056439</v>
      </c>
      <c r="EY39" s="518">
        <v>0</v>
      </c>
      <c r="EZ39" s="518">
        <v>920524.61089585547</v>
      </c>
      <c r="FB39" s="518">
        <v>156611.13339999999</v>
      </c>
      <c r="FC39" s="518">
        <v>-4379.7231785719678</v>
      </c>
      <c r="FF39" s="518">
        <v>811531.55407381745</v>
      </c>
      <c r="FI39" s="488">
        <v>3554.1490768179747</v>
      </c>
      <c r="FK39" s="488">
        <v>259</v>
      </c>
      <c r="FL39" s="488">
        <v>0</v>
      </c>
      <c r="FM39" s="488">
        <v>259</v>
      </c>
    </row>
    <row r="40" spans="1:169" s="488" customFormat="1" x14ac:dyDescent="0.2">
      <c r="A40" s="489" t="s">
        <v>21</v>
      </c>
      <c r="B40" s="489" t="s">
        <v>828</v>
      </c>
      <c r="C40" s="489">
        <v>2448</v>
      </c>
      <c r="D40" s="488" t="s">
        <v>169</v>
      </c>
      <c r="E40" s="490"/>
      <c r="F40" s="490"/>
      <c r="G40" s="490"/>
      <c r="H40" s="490"/>
      <c r="I40" s="490"/>
      <c r="J40" s="490"/>
      <c r="K40" s="490"/>
      <c r="L40" s="490"/>
      <c r="M40" s="490"/>
      <c r="N40" s="528">
        <v>318</v>
      </c>
      <c r="O40" s="529">
        <v>495.82559999999995</v>
      </c>
      <c r="P40" s="530">
        <v>817038.39496095316</v>
      </c>
      <c r="Q40" s="528">
        <v>0</v>
      </c>
      <c r="R40" s="529">
        <v>0</v>
      </c>
      <c r="S40" s="530">
        <v>0</v>
      </c>
      <c r="T40" s="531">
        <v>0</v>
      </c>
      <c r="U40" s="529">
        <v>0</v>
      </c>
      <c r="V40" s="530">
        <v>0</v>
      </c>
      <c r="W40" s="491"/>
      <c r="X40" s="532">
        <v>0</v>
      </c>
      <c r="Y40" s="530">
        <v>0</v>
      </c>
      <c r="Z40" s="529">
        <v>318</v>
      </c>
      <c r="AA40" s="532">
        <v>495.82559999999995</v>
      </c>
      <c r="AB40" s="530">
        <v>817038</v>
      </c>
      <c r="AC40" s="490"/>
      <c r="AD40" s="490"/>
      <c r="AE40" s="490"/>
      <c r="AF40" s="490"/>
      <c r="AG40" s="490"/>
      <c r="AH40" s="490"/>
      <c r="AI40" s="533"/>
      <c r="AJ40" s="530">
        <v>0</v>
      </c>
      <c r="AK40" s="530">
        <v>0</v>
      </c>
      <c r="AL40" s="530">
        <v>6454.45</v>
      </c>
      <c r="AM40" s="534"/>
      <c r="AN40" s="530">
        <v>0</v>
      </c>
      <c r="AO40" s="535">
        <v>81.7</v>
      </c>
      <c r="AP40" s="530">
        <v>3143.4122564226755</v>
      </c>
      <c r="AQ40" s="536">
        <v>0</v>
      </c>
      <c r="AR40" s="530">
        <v>0</v>
      </c>
      <c r="AS40" s="490"/>
      <c r="AT40" s="536">
        <v>20</v>
      </c>
      <c r="AU40" s="536">
        <v>37.5</v>
      </c>
      <c r="AV40" s="537">
        <v>30.208333333333332</v>
      </c>
      <c r="AW40" s="538">
        <v>18144.567454083866</v>
      </c>
      <c r="AX40" s="539"/>
      <c r="AY40" s="535">
        <v>0</v>
      </c>
      <c r="AZ40" s="540"/>
      <c r="BA40" s="499"/>
      <c r="BB40" s="528">
        <v>5</v>
      </c>
      <c r="BC40" s="528">
        <v>3808.6547972304647</v>
      </c>
      <c r="BD40" s="528">
        <v>7</v>
      </c>
      <c r="BE40" s="538">
        <v>2287.4876096807366</v>
      </c>
      <c r="BF40" s="535">
        <v>357</v>
      </c>
      <c r="BG40" s="535">
        <v>64</v>
      </c>
      <c r="BH40" s="535">
        <v>336</v>
      </c>
      <c r="BI40" s="535">
        <v>70</v>
      </c>
      <c r="BJ40" s="536">
        <v>318</v>
      </c>
      <c r="BK40" s="536">
        <v>60</v>
      </c>
      <c r="BL40" s="541">
        <v>337</v>
      </c>
      <c r="BM40" s="541">
        <v>64.67</v>
      </c>
      <c r="BN40" s="542">
        <v>19.190000000000001</v>
      </c>
      <c r="BO40" s="529">
        <v>61.02</v>
      </c>
      <c r="BP40" s="528">
        <v>89987.134526322698</v>
      </c>
      <c r="BQ40" s="536">
        <v>12</v>
      </c>
      <c r="BR40" s="530">
        <v>2411.66</v>
      </c>
      <c r="BS40" s="536">
        <v>4</v>
      </c>
      <c r="BT40" s="530">
        <v>808.34104060503591</v>
      </c>
      <c r="BU40" s="530">
        <v>214</v>
      </c>
      <c r="BV40" s="530">
        <v>48659.626293543217</v>
      </c>
      <c r="BW40" s="536">
        <v>7</v>
      </c>
      <c r="BX40" s="530">
        <v>5992.8219732683219</v>
      </c>
      <c r="BY40" s="500"/>
      <c r="BZ40" s="282"/>
      <c r="CA40" s="282"/>
      <c r="CB40" s="490"/>
      <c r="CC40" s="490"/>
      <c r="CD40" s="490"/>
      <c r="CE40" s="282"/>
      <c r="CF40" s="490"/>
      <c r="CG40" s="543">
        <v>318</v>
      </c>
      <c r="CH40" s="532" t="e">
        <v>#DIV/0!</v>
      </c>
      <c r="CI40" s="532" t="e">
        <v>#DIV/0!</v>
      </c>
      <c r="CJ40" s="544"/>
      <c r="CK40" s="490"/>
      <c r="CL40" s="545">
        <v>2006.39</v>
      </c>
      <c r="CM40" s="546">
        <v>2</v>
      </c>
      <c r="CN40" s="532">
        <v>4012.78</v>
      </c>
      <c r="CO40" s="530">
        <v>5743.66</v>
      </c>
      <c r="CP40" s="490"/>
      <c r="CQ40" s="490"/>
      <c r="CR40" s="490"/>
      <c r="CS40" s="490"/>
      <c r="CT40" s="490"/>
      <c r="CU40" s="490"/>
      <c r="CV40" s="490"/>
      <c r="CW40" s="490"/>
      <c r="CX40" s="490"/>
      <c r="CY40" s="547"/>
      <c r="CZ40" s="530">
        <v>0</v>
      </c>
      <c r="DA40" s="506">
        <v>16373.5</v>
      </c>
      <c r="DB40" s="548"/>
      <c r="DC40" s="537">
        <v>0</v>
      </c>
      <c r="DD40" s="530">
        <v>0</v>
      </c>
      <c r="DE40" s="490"/>
      <c r="DF40" s="529">
        <v>1</v>
      </c>
      <c r="DG40" s="549">
        <v>70073.495851086889</v>
      </c>
      <c r="DH40" s="550"/>
      <c r="DI40" s="530">
        <v>0</v>
      </c>
      <c r="DJ40" s="551"/>
      <c r="DK40" s="552"/>
      <c r="DL40" s="282"/>
      <c r="DM40" s="490"/>
      <c r="DN40" s="509"/>
      <c r="DO40" s="553">
        <v>0</v>
      </c>
      <c r="DP40" s="530">
        <v>0</v>
      </c>
      <c r="DQ40" s="282"/>
      <c r="DR40" s="510"/>
      <c r="DS40" s="282"/>
      <c r="DT40" s="541">
        <v>0</v>
      </c>
      <c r="DU40" s="541">
        <v>0</v>
      </c>
      <c r="DV40" s="490"/>
      <c r="DW40" s="490"/>
      <c r="DX40" s="511"/>
      <c r="DY40" s="512">
        <v>0</v>
      </c>
      <c r="DZ40" s="513">
        <v>1090926.8118022438</v>
      </c>
      <c r="EA40" s="513">
        <v>19394.120072483551</v>
      </c>
      <c r="EB40" s="514">
        <v>0</v>
      </c>
      <c r="EC40" s="514">
        <v>0</v>
      </c>
      <c r="ED40" s="514">
        <v>0</v>
      </c>
      <c r="EE40" s="494"/>
      <c r="EF40" s="513">
        <v>1110320.9318747274</v>
      </c>
      <c r="EG40" s="513">
        <v>1093947.4318747274</v>
      </c>
      <c r="EH40" s="515">
        <v>318</v>
      </c>
      <c r="EI40" s="516">
        <v>13338.163804899987</v>
      </c>
      <c r="EJ40" s="517"/>
      <c r="EL40" s="518"/>
      <c r="EM40" s="518">
        <v>1110320.9318747274</v>
      </c>
      <c r="EN40" s="518">
        <v>0</v>
      </c>
      <c r="EO40" s="518">
        <v>0</v>
      </c>
      <c r="EP40" s="518">
        <v>0</v>
      </c>
      <c r="EQ40" s="518">
        <v>-18144.567454083866</v>
      </c>
      <c r="ER40" s="518">
        <v>0</v>
      </c>
      <c r="ES40" s="518">
        <v>0</v>
      </c>
      <c r="ET40" s="518">
        <v>0</v>
      </c>
      <c r="EU40" s="518">
        <v>0</v>
      </c>
      <c r="EV40" s="518">
        <v>0</v>
      </c>
      <c r="EW40" s="518">
        <v>0</v>
      </c>
      <c r="EX40" s="518">
        <v>0</v>
      </c>
      <c r="EY40" s="518">
        <v>0</v>
      </c>
      <c r="EZ40" s="518">
        <v>1092176.3644206435</v>
      </c>
      <c r="FB40" s="518">
        <v>0</v>
      </c>
      <c r="FC40" s="518">
        <v>-18144.567454083866</v>
      </c>
      <c r="FF40" s="518">
        <v>967897.8975903648</v>
      </c>
      <c r="FI40" s="488">
        <v>3423.7503586854032</v>
      </c>
      <c r="FK40" s="488">
        <v>319</v>
      </c>
      <c r="FL40" s="488">
        <v>0</v>
      </c>
      <c r="FM40" s="488">
        <v>319</v>
      </c>
    </row>
    <row r="41" spans="1:169" s="488" customFormat="1" x14ac:dyDescent="0.2">
      <c r="A41" s="559" t="s">
        <v>22</v>
      </c>
      <c r="B41" s="559" t="s">
        <v>829</v>
      </c>
      <c r="C41" s="559">
        <v>2467</v>
      </c>
      <c r="D41" s="488" t="s">
        <v>169</v>
      </c>
      <c r="E41" s="490"/>
      <c r="F41" s="490"/>
      <c r="G41" s="490"/>
      <c r="H41" s="490"/>
      <c r="I41" s="490"/>
      <c r="J41" s="490"/>
      <c r="K41" s="490"/>
      <c r="L41" s="490"/>
      <c r="M41" s="490"/>
      <c r="N41" s="528">
        <v>0</v>
      </c>
      <c r="O41" s="529">
        <v>0</v>
      </c>
      <c r="P41" s="530">
        <v>0</v>
      </c>
      <c r="Q41" s="528">
        <v>103</v>
      </c>
      <c r="R41" s="529">
        <v>153.161</v>
      </c>
      <c r="S41" s="530">
        <v>252383.9382448477</v>
      </c>
      <c r="T41" s="531">
        <v>54</v>
      </c>
      <c r="U41" s="529">
        <v>95.256</v>
      </c>
      <c r="V41" s="530">
        <v>156966.09725355156</v>
      </c>
      <c r="W41" s="491"/>
      <c r="X41" s="532">
        <v>0</v>
      </c>
      <c r="Y41" s="530">
        <v>0</v>
      </c>
      <c r="Z41" s="529">
        <v>157</v>
      </c>
      <c r="AA41" s="532">
        <v>248.417</v>
      </c>
      <c r="AB41" s="530">
        <v>409350</v>
      </c>
      <c r="AC41" s="490"/>
      <c r="AD41" s="490"/>
      <c r="AE41" s="490"/>
      <c r="AF41" s="490"/>
      <c r="AG41" s="490"/>
      <c r="AH41" s="490"/>
      <c r="AI41" s="533"/>
      <c r="AJ41" s="530">
        <v>0</v>
      </c>
      <c r="AK41" s="530">
        <v>0</v>
      </c>
      <c r="AL41" s="530">
        <v>3186.63</v>
      </c>
      <c r="AM41" s="534"/>
      <c r="AN41" s="530">
        <v>0</v>
      </c>
      <c r="AO41" s="535">
        <v>40.799999999999997</v>
      </c>
      <c r="AP41" s="530">
        <v>1569.7823753004302</v>
      </c>
      <c r="AQ41" s="536">
        <v>2</v>
      </c>
      <c r="AR41" s="530">
        <v>22680.611130037629</v>
      </c>
      <c r="AS41" s="490"/>
      <c r="AT41" s="536">
        <v>0</v>
      </c>
      <c r="AU41" s="536">
        <v>0</v>
      </c>
      <c r="AV41" s="537">
        <v>0</v>
      </c>
      <c r="AW41" s="538">
        <v>0</v>
      </c>
      <c r="AX41" s="539"/>
      <c r="AY41" s="535">
        <v>0</v>
      </c>
      <c r="AZ41" s="540"/>
      <c r="BA41" s="499"/>
      <c r="BB41" s="528">
        <v>3</v>
      </c>
      <c r="BC41" s="528">
        <v>2285.1928783382787</v>
      </c>
      <c r="BD41" s="528">
        <v>14</v>
      </c>
      <c r="BE41" s="538">
        <v>4574.9752193614731</v>
      </c>
      <c r="BF41" s="535">
        <v>124</v>
      </c>
      <c r="BG41" s="535">
        <v>28</v>
      </c>
      <c r="BH41" s="535">
        <v>135</v>
      </c>
      <c r="BI41" s="535">
        <v>37</v>
      </c>
      <c r="BJ41" s="536">
        <v>157</v>
      </c>
      <c r="BK41" s="536">
        <v>31</v>
      </c>
      <c r="BL41" s="541">
        <v>138.66999999999999</v>
      </c>
      <c r="BM41" s="541">
        <v>32</v>
      </c>
      <c r="BN41" s="542">
        <v>23.08</v>
      </c>
      <c r="BO41" s="529">
        <v>36.24</v>
      </c>
      <c r="BP41" s="528">
        <v>53443.686582004826</v>
      </c>
      <c r="BQ41" s="536">
        <v>2</v>
      </c>
      <c r="BR41" s="530">
        <v>401.94</v>
      </c>
      <c r="BS41" s="536">
        <v>9</v>
      </c>
      <c r="BT41" s="530">
        <v>1818.7673413613309</v>
      </c>
      <c r="BU41" s="530">
        <v>188</v>
      </c>
      <c r="BV41" s="530">
        <v>42747.709080308989</v>
      </c>
      <c r="BW41" s="536">
        <v>8</v>
      </c>
      <c r="BX41" s="530">
        <v>6848.9393980209397</v>
      </c>
      <c r="BY41" s="500"/>
      <c r="BZ41" s="282"/>
      <c r="CA41" s="282"/>
      <c r="CB41" s="490"/>
      <c r="CC41" s="490"/>
      <c r="CD41" s="490"/>
      <c r="CE41" s="282"/>
      <c r="CF41" s="490"/>
      <c r="CG41" s="543">
        <v>157</v>
      </c>
      <c r="CH41" s="532" t="e">
        <v>#DIV/0!</v>
      </c>
      <c r="CI41" s="532" t="e">
        <v>#DIV/0!</v>
      </c>
      <c r="CJ41" s="544"/>
      <c r="CK41" s="490"/>
      <c r="CL41" s="545">
        <v>747.49173812478841</v>
      </c>
      <c r="CM41" s="546">
        <v>2</v>
      </c>
      <c r="CN41" s="532">
        <v>1494.9834762495768</v>
      </c>
      <c r="CO41" s="530">
        <v>2139.83</v>
      </c>
      <c r="CP41" s="490"/>
      <c r="CQ41" s="490"/>
      <c r="CR41" s="490"/>
      <c r="CS41" s="490"/>
      <c r="CT41" s="490"/>
      <c r="CU41" s="490"/>
      <c r="CV41" s="490"/>
      <c r="CW41" s="490"/>
      <c r="CX41" s="490"/>
      <c r="CY41" s="547"/>
      <c r="CZ41" s="530">
        <v>0</v>
      </c>
      <c r="DA41" s="506">
        <v>6125.75</v>
      </c>
      <c r="DB41" s="548"/>
      <c r="DC41" s="537">
        <v>0</v>
      </c>
      <c r="DD41" s="530">
        <v>0</v>
      </c>
      <c r="DE41" s="490"/>
      <c r="DF41" s="529">
        <v>1</v>
      </c>
      <c r="DG41" s="549">
        <v>74722.185859261808</v>
      </c>
      <c r="DH41" s="550"/>
      <c r="DI41" s="530">
        <v>0</v>
      </c>
      <c r="DJ41" s="551"/>
      <c r="DK41" s="552"/>
      <c r="DL41" s="282"/>
      <c r="DM41" s="490"/>
      <c r="DN41" s="509"/>
      <c r="DO41" s="553">
        <v>0</v>
      </c>
      <c r="DP41" s="530">
        <v>0</v>
      </c>
      <c r="DQ41" s="282"/>
      <c r="DR41" s="510"/>
      <c r="DS41" s="282"/>
      <c r="DT41" s="541">
        <v>0</v>
      </c>
      <c r="DU41" s="541">
        <v>0</v>
      </c>
      <c r="DV41" s="490"/>
      <c r="DW41" s="490"/>
      <c r="DX41" s="511">
        <v>109265.4534</v>
      </c>
      <c r="DY41" s="512">
        <v>0</v>
      </c>
      <c r="DZ41" s="513">
        <v>741161.4532639957</v>
      </c>
      <c r="EA41" s="513">
        <v>0</v>
      </c>
      <c r="EB41" s="514">
        <v>0</v>
      </c>
      <c r="EC41" s="514">
        <v>0</v>
      </c>
      <c r="ED41" s="514">
        <v>7343.5443999999989</v>
      </c>
      <c r="EE41" s="494"/>
      <c r="EF41" s="513">
        <v>748504.99766399572</v>
      </c>
      <c r="EG41" s="513">
        <v>742379.24766399572</v>
      </c>
      <c r="EH41" s="515">
        <v>157</v>
      </c>
      <c r="EI41" s="516">
        <v>6585.194079777667</v>
      </c>
      <c r="EJ41" s="517"/>
      <c r="EL41" s="518">
        <v>1436309.1374055892</v>
      </c>
      <c r="EM41" s="518">
        <v>748504.99766399572</v>
      </c>
      <c r="EN41" s="518">
        <v>-109265.4534</v>
      </c>
      <c r="EO41" s="518">
        <v>-7343.5443999999989</v>
      </c>
      <c r="EP41" s="518">
        <v>0</v>
      </c>
      <c r="EQ41" s="518">
        <v>0</v>
      </c>
      <c r="ER41" s="518">
        <v>0</v>
      </c>
      <c r="ES41" s="518">
        <v>0</v>
      </c>
      <c r="ET41" s="518">
        <v>0</v>
      </c>
      <c r="EU41" s="518">
        <v>0</v>
      </c>
      <c r="EV41" s="518">
        <v>0</v>
      </c>
      <c r="EW41" s="518">
        <v>0</v>
      </c>
      <c r="EX41" s="518">
        <v>-22680.611130037629</v>
      </c>
      <c r="EY41" s="518">
        <v>0</v>
      </c>
      <c r="EZ41" s="518">
        <v>609215.38873395813</v>
      </c>
      <c r="FB41" s="518">
        <v>116608.9978</v>
      </c>
      <c r="FC41" s="518">
        <v>0</v>
      </c>
      <c r="FF41" s="518">
        <v>515077.46793867298</v>
      </c>
      <c r="FI41" s="488">
        <v>3831.5433253708056</v>
      </c>
      <c r="FK41" s="488">
        <v>159</v>
      </c>
      <c r="FL41" s="488">
        <v>0</v>
      </c>
      <c r="FM41" s="488">
        <v>159</v>
      </c>
    </row>
    <row r="42" spans="1:169" s="488" customFormat="1" x14ac:dyDescent="0.2">
      <c r="A42" s="559" t="s">
        <v>23</v>
      </c>
      <c r="B42" s="559" t="s">
        <v>830</v>
      </c>
      <c r="C42" s="559">
        <v>2453</v>
      </c>
      <c r="D42" s="488" t="s">
        <v>169</v>
      </c>
      <c r="E42" s="490"/>
      <c r="F42" s="490"/>
      <c r="G42" s="490"/>
      <c r="H42" s="490"/>
      <c r="I42" s="490"/>
      <c r="J42" s="490"/>
      <c r="K42" s="490"/>
      <c r="L42" s="490"/>
      <c r="M42" s="490"/>
      <c r="N42" s="528">
        <v>182</v>
      </c>
      <c r="O42" s="529">
        <v>283.77439999999996</v>
      </c>
      <c r="P42" s="530">
        <v>467613.16944306123</v>
      </c>
      <c r="Q42" s="528">
        <v>0</v>
      </c>
      <c r="R42" s="529">
        <v>0</v>
      </c>
      <c r="S42" s="530">
        <v>0</v>
      </c>
      <c r="T42" s="531">
        <v>0</v>
      </c>
      <c r="U42" s="529">
        <v>0</v>
      </c>
      <c r="V42" s="530">
        <v>0</v>
      </c>
      <c r="W42" s="491"/>
      <c r="X42" s="532">
        <v>0</v>
      </c>
      <c r="Y42" s="530">
        <v>0</v>
      </c>
      <c r="Z42" s="529">
        <v>182</v>
      </c>
      <c r="AA42" s="532">
        <v>283.77439999999996</v>
      </c>
      <c r="AB42" s="530">
        <v>467614</v>
      </c>
      <c r="AC42" s="490"/>
      <c r="AD42" s="490"/>
      <c r="AE42" s="490"/>
      <c r="AF42" s="490"/>
      <c r="AG42" s="490"/>
      <c r="AH42" s="490"/>
      <c r="AI42" s="533"/>
      <c r="AJ42" s="530">
        <v>0</v>
      </c>
      <c r="AK42" s="530">
        <v>0</v>
      </c>
      <c r="AL42" s="530">
        <v>3694.05</v>
      </c>
      <c r="AM42" s="534"/>
      <c r="AN42" s="530">
        <v>0</v>
      </c>
      <c r="AO42" s="535">
        <v>74.5</v>
      </c>
      <c r="AP42" s="530">
        <v>2866.3918372520111</v>
      </c>
      <c r="AQ42" s="536">
        <v>0</v>
      </c>
      <c r="AR42" s="530">
        <v>0</v>
      </c>
      <c r="AS42" s="490"/>
      <c r="AT42" s="536">
        <v>15</v>
      </c>
      <c r="AU42" s="536">
        <v>15</v>
      </c>
      <c r="AV42" s="537">
        <v>15</v>
      </c>
      <c r="AW42" s="538">
        <v>9009.7162530623336</v>
      </c>
      <c r="AX42" s="539"/>
      <c r="AY42" s="535">
        <v>0</v>
      </c>
      <c r="AZ42" s="540"/>
      <c r="BA42" s="499"/>
      <c r="BB42" s="528">
        <v>2</v>
      </c>
      <c r="BC42" s="528">
        <v>1523.4619188921858</v>
      </c>
      <c r="BD42" s="528">
        <v>9</v>
      </c>
      <c r="BE42" s="538">
        <v>2941.0554981609466</v>
      </c>
      <c r="BF42" s="535">
        <v>186</v>
      </c>
      <c r="BG42" s="535">
        <v>34</v>
      </c>
      <c r="BH42" s="535">
        <v>183</v>
      </c>
      <c r="BI42" s="535">
        <v>28</v>
      </c>
      <c r="BJ42" s="536">
        <v>182</v>
      </c>
      <c r="BK42" s="536">
        <v>29</v>
      </c>
      <c r="BL42" s="541">
        <v>183.67</v>
      </c>
      <c r="BM42" s="541">
        <v>30.33</v>
      </c>
      <c r="BN42" s="542">
        <v>16.510000000000002</v>
      </c>
      <c r="BO42" s="529">
        <v>30.05</v>
      </c>
      <c r="BP42" s="528">
        <v>44315.198172992408</v>
      </c>
      <c r="BQ42" s="536">
        <v>8</v>
      </c>
      <c r="BR42" s="530">
        <v>1607.77</v>
      </c>
      <c r="BS42" s="536">
        <v>4</v>
      </c>
      <c r="BT42" s="530">
        <v>808.34104060503591</v>
      </c>
      <c r="BU42" s="530">
        <v>225</v>
      </c>
      <c r="BV42" s="530">
        <v>51160.822037603844</v>
      </c>
      <c r="BW42" s="536">
        <v>5</v>
      </c>
      <c r="BX42" s="530">
        <v>4280.5871237630872</v>
      </c>
      <c r="BY42" s="500"/>
      <c r="BZ42" s="282"/>
      <c r="CA42" s="282"/>
      <c r="CB42" s="490"/>
      <c r="CC42" s="490"/>
      <c r="CD42" s="490"/>
      <c r="CE42" s="282"/>
      <c r="CF42" s="490"/>
      <c r="CG42" s="543">
        <v>182</v>
      </c>
      <c r="CH42" s="532" t="e">
        <v>#DIV/0!</v>
      </c>
      <c r="CI42" s="532" t="e">
        <v>#DIV/0!</v>
      </c>
      <c r="CJ42" s="544"/>
      <c r="CK42" s="490"/>
      <c r="CL42" s="545">
        <v>1455</v>
      </c>
      <c r="CM42" s="546">
        <v>3</v>
      </c>
      <c r="CN42" s="532">
        <v>4365</v>
      </c>
      <c r="CO42" s="530">
        <v>6247.81</v>
      </c>
      <c r="CP42" s="490"/>
      <c r="CQ42" s="490"/>
      <c r="CR42" s="490"/>
      <c r="CS42" s="490"/>
      <c r="CT42" s="490"/>
      <c r="CU42" s="490"/>
      <c r="CV42" s="490"/>
      <c r="CW42" s="490"/>
      <c r="CX42" s="490"/>
      <c r="CY42" s="547"/>
      <c r="CZ42" s="530">
        <v>0</v>
      </c>
      <c r="DA42" s="506">
        <v>6125.75</v>
      </c>
      <c r="DB42" s="548"/>
      <c r="DC42" s="537">
        <v>0</v>
      </c>
      <c r="DD42" s="530">
        <v>0</v>
      </c>
      <c r="DE42" s="490"/>
      <c r="DF42" s="529">
        <v>1</v>
      </c>
      <c r="DG42" s="549">
        <v>74722.185859261808</v>
      </c>
      <c r="DH42" s="550"/>
      <c r="DI42" s="530">
        <v>0</v>
      </c>
      <c r="DJ42" s="551"/>
      <c r="DK42" s="552"/>
      <c r="DL42" s="282"/>
      <c r="DM42" s="490"/>
      <c r="DN42" s="509"/>
      <c r="DO42" s="553">
        <v>0</v>
      </c>
      <c r="DP42" s="530">
        <v>0</v>
      </c>
      <c r="DQ42" s="282"/>
      <c r="DR42" s="510"/>
      <c r="DS42" s="282"/>
      <c r="DT42" s="541">
        <v>0</v>
      </c>
      <c r="DU42" s="541">
        <v>0</v>
      </c>
      <c r="DV42" s="490"/>
      <c r="DW42" s="490"/>
      <c r="DX42" s="511"/>
      <c r="DY42" s="512">
        <v>0</v>
      </c>
      <c r="DZ42" s="513">
        <v>676917.13974159362</v>
      </c>
      <c r="EA42" s="513">
        <v>0</v>
      </c>
      <c r="EB42" s="514">
        <v>10887</v>
      </c>
      <c r="EC42" s="514">
        <v>0</v>
      </c>
      <c r="ED42" s="514">
        <v>0</v>
      </c>
      <c r="EE42" s="494"/>
      <c r="EF42" s="513">
        <v>687804.13974159362</v>
      </c>
      <c r="EG42" s="513">
        <v>681678.38974159362</v>
      </c>
      <c r="EH42" s="515">
        <v>182</v>
      </c>
      <c r="EI42" s="516">
        <v>7633.7918631817538</v>
      </c>
      <c r="EJ42" s="517"/>
      <c r="EL42" s="518"/>
      <c r="EM42" s="518">
        <v>687804.13974159362</v>
      </c>
      <c r="EN42" s="518">
        <v>0</v>
      </c>
      <c r="EO42" s="518">
        <v>0</v>
      </c>
      <c r="EP42" s="558">
        <v>0</v>
      </c>
      <c r="EQ42" s="518">
        <v>-9009.7162530623336</v>
      </c>
      <c r="ER42" s="518">
        <v>0</v>
      </c>
      <c r="ES42" s="518">
        <v>-10887</v>
      </c>
      <c r="ET42" s="518">
        <v>0</v>
      </c>
      <c r="EU42" s="518">
        <v>0</v>
      </c>
      <c r="EV42" s="518">
        <v>0</v>
      </c>
      <c r="EW42" s="518">
        <v>0</v>
      </c>
      <c r="EX42" s="518">
        <v>0</v>
      </c>
      <c r="EY42" s="518">
        <v>0</v>
      </c>
      <c r="EZ42" s="518">
        <v>667907.42348853126</v>
      </c>
      <c r="FB42" s="518">
        <v>0</v>
      </c>
      <c r="FC42" s="518">
        <v>-9009.7162530623318</v>
      </c>
      <c r="FF42" s="518">
        <v>570501.83925325144</v>
      </c>
      <c r="FI42" s="488">
        <v>3669.8210081787433</v>
      </c>
      <c r="FK42" s="488">
        <v>182</v>
      </c>
      <c r="FL42" s="488">
        <v>0</v>
      </c>
      <c r="FM42" s="488">
        <v>182</v>
      </c>
    </row>
    <row r="43" spans="1:169" s="488" customFormat="1" x14ac:dyDescent="0.2">
      <c r="A43" s="489" t="s">
        <v>24</v>
      </c>
      <c r="B43" s="489" t="s">
        <v>831</v>
      </c>
      <c r="C43" s="489">
        <v>2455</v>
      </c>
      <c r="D43" s="488" t="s">
        <v>169</v>
      </c>
      <c r="E43" s="490"/>
      <c r="F43" s="490"/>
      <c r="G43" s="490"/>
      <c r="H43" s="490"/>
      <c r="I43" s="490"/>
      <c r="J43" s="490"/>
      <c r="K43" s="490"/>
      <c r="L43" s="490"/>
      <c r="M43" s="490"/>
      <c r="N43" s="528">
        <v>0</v>
      </c>
      <c r="O43" s="529">
        <v>0</v>
      </c>
      <c r="P43" s="530">
        <v>0</v>
      </c>
      <c r="Q43" s="528">
        <v>240</v>
      </c>
      <c r="R43" s="529">
        <v>356.88</v>
      </c>
      <c r="S43" s="530">
        <v>588079.0794054704</v>
      </c>
      <c r="T43" s="531">
        <v>120</v>
      </c>
      <c r="U43" s="529">
        <v>211.68</v>
      </c>
      <c r="V43" s="530">
        <v>348813.54945233685</v>
      </c>
      <c r="W43" s="491"/>
      <c r="X43" s="532">
        <v>0</v>
      </c>
      <c r="Y43" s="530">
        <v>0</v>
      </c>
      <c r="Z43" s="529">
        <v>360</v>
      </c>
      <c r="AA43" s="532">
        <v>568.55999999999995</v>
      </c>
      <c r="AB43" s="530">
        <v>936894</v>
      </c>
      <c r="AC43" s="490"/>
      <c r="AD43" s="490"/>
      <c r="AE43" s="490"/>
      <c r="AF43" s="490"/>
      <c r="AG43" s="490"/>
      <c r="AH43" s="490"/>
      <c r="AI43" s="533"/>
      <c r="AJ43" s="530">
        <v>0</v>
      </c>
      <c r="AK43" s="530">
        <v>0</v>
      </c>
      <c r="AL43" s="530">
        <v>7306.92</v>
      </c>
      <c r="AM43" s="534"/>
      <c r="AN43" s="530">
        <v>0</v>
      </c>
      <c r="AO43" s="535">
        <v>126.9</v>
      </c>
      <c r="AP43" s="530">
        <v>4882.4848878829562</v>
      </c>
      <c r="AQ43" s="536">
        <v>4</v>
      </c>
      <c r="AR43" s="530">
        <v>45361.222260075258</v>
      </c>
      <c r="AS43" s="490"/>
      <c r="AT43" s="536">
        <v>30</v>
      </c>
      <c r="AU43" s="536">
        <v>10</v>
      </c>
      <c r="AV43" s="537">
        <v>18.333333333333332</v>
      </c>
      <c r="AW43" s="538">
        <v>11011.875420409518</v>
      </c>
      <c r="AX43" s="539"/>
      <c r="AY43" s="535">
        <v>0</v>
      </c>
      <c r="AZ43" s="540"/>
      <c r="BA43" s="499"/>
      <c r="BB43" s="528">
        <v>7</v>
      </c>
      <c r="BC43" s="528">
        <v>5332.1167161226504</v>
      </c>
      <c r="BD43" s="528">
        <v>14</v>
      </c>
      <c r="BE43" s="538">
        <v>4574.9752193614731</v>
      </c>
      <c r="BF43" s="535">
        <v>358</v>
      </c>
      <c r="BG43" s="535">
        <v>42</v>
      </c>
      <c r="BH43" s="535">
        <v>358</v>
      </c>
      <c r="BI43" s="535">
        <v>37</v>
      </c>
      <c r="BJ43" s="536">
        <v>360</v>
      </c>
      <c r="BK43" s="536">
        <v>42</v>
      </c>
      <c r="BL43" s="541">
        <v>358.67</v>
      </c>
      <c r="BM43" s="541">
        <v>40.33</v>
      </c>
      <c r="BN43" s="542">
        <v>11.24</v>
      </c>
      <c r="BO43" s="529">
        <v>40.46</v>
      </c>
      <c r="BP43" s="528">
        <v>59666.9856265981</v>
      </c>
      <c r="BQ43" s="536">
        <v>19</v>
      </c>
      <c r="BR43" s="530">
        <v>3818.46</v>
      </c>
      <c r="BS43" s="536">
        <v>30</v>
      </c>
      <c r="BT43" s="530">
        <v>6062.5578045377697</v>
      </c>
      <c r="BU43" s="530">
        <v>106</v>
      </c>
      <c r="BV43" s="530">
        <v>24102.431715493367</v>
      </c>
      <c r="BW43" s="536">
        <v>9</v>
      </c>
      <c r="BX43" s="530">
        <v>7705.0568227735575</v>
      </c>
      <c r="BY43" s="500"/>
      <c r="BZ43" s="282"/>
      <c r="CA43" s="282"/>
      <c r="CB43" s="490"/>
      <c r="CC43" s="490"/>
      <c r="CD43" s="490"/>
      <c r="CE43" s="282"/>
      <c r="CF43" s="490"/>
      <c r="CG43" s="543">
        <v>360</v>
      </c>
      <c r="CH43" s="532" t="e">
        <v>#DIV/0!</v>
      </c>
      <c r="CI43" s="532" t="e">
        <v>#DIV/0!</v>
      </c>
      <c r="CJ43" s="544"/>
      <c r="CK43" s="490"/>
      <c r="CL43" s="545">
        <v>1525</v>
      </c>
      <c r="CM43" s="546">
        <v>2</v>
      </c>
      <c r="CN43" s="532">
        <v>3050</v>
      </c>
      <c r="CO43" s="530">
        <v>4365.59</v>
      </c>
      <c r="CP43" s="490"/>
      <c r="CQ43" s="490"/>
      <c r="CR43" s="490"/>
      <c r="CS43" s="490"/>
      <c r="CT43" s="490"/>
      <c r="CU43" s="490"/>
      <c r="CV43" s="490"/>
      <c r="CW43" s="490"/>
      <c r="CX43" s="490"/>
      <c r="CY43" s="547"/>
      <c r="CZ43" s="530">
        <v>0</v>
      </c>
      <c r="DA43" s="506">
        <v>23816</v>
      </c>
      <c r="DB43" s="548"/>
      <c r="DC43" s="537">
        <v>0</v>
      </c>
      <c r="DD43" s="530">
        <v>0</v>
      </c>
      <c r="DE43" s="490"/>
      <c r="DF43" s="529">
        <v>1</v>
      </c>
      <c r="DG43" s="549">
        <v>70073.495851086889</v>
      </c>
      <c r="DH43" s="550"/>
      <c r="DI43" s="530">
        <v>0</v>
      </c>
      <c r="DJ43" s="551"/>
      <c r="DK43" s="552"/>
      <c r="DL43" s="282"/>
      <c r="DM43" s="490"/>
      <c r="DN43" s="509"/>
      <c r="DO43" s="553">
        <v>0</v>
      </c>
      <c r="DP43" s="530">
        <v>0</v>
      </c>
      <c r="DQ43" s="282"/>
      <c r="DR43" s="510"/>
      <c r="DS43" s="282"/>
      <c r="DT43" s="541">
        <v>0</v>
      </c>
      <c r="DU43" s="541">
        <v>0</v>
      </c>
      <c r="DV43" s="490"/>
      <c r="DW43" s="490"/>
      <c r="DX43" s="511"/>
      <c r="DY43" s="512">
        <v>0</v>
      </c>
      <c r="DZ43" s="513">
        <v>1214974.1723243415</v>
      </c>
      <c r="EA43" s="513">
        <v>0</v>
      </c>
      <c r="EB43" s="514">
        <v>7384</v>
      </c>
      <c r="EC43" s="514">
        <v>0</v>
      </c>
      <c r="ED43" s="514">
        <v>0</v>
      </c>
      <c r="EE43" s="494"/>
      <c r="EF43" s="513">
        <v>1222358.1723243415</v>
      </c>
      <c r="EG43" s="513">
        <v>1198542.1723243415</v>
      </c>
      <c r="EH43" s="515">
        <v>360</v>
      </c>
      <c r="EI43" s="516">
        <v>15099.808081018853</v>
      </c>
      <c r="EJ43" s="517"/>
      <c r="EL43" s="518"/>
      <c r="EM43" s="518">
        <v>1222358.1723243415</v>
      </c>
      <c r="EN43" s="518">
        <v>0</v>
      </c>
      <c r="EO43" s="518">
        <v>0</v>
      </c>
      <c r="EP43" s="518">
        <v>0</v>
      </c>
      <c r="EQ43" s="518">
        <v>-11011.875420409518</v>
      </c>
      <c r="ER43" s="518">
        <v>0</v>
      </c>
      <c r="ES43" s="518">
        <v>-7384</v>
      </c>
      <c r="ET43" s="518">
        <v>0</v>
      </c>
      <c r="EU43" s="518">
        <v>0</v>
      </c>
      <c r="EV43" s="518">
        <v>0</v>
      </c>
      <c r="EW43" s="518">
        <v>0</v>
      </c>
      <c r="EX43" s="518">
        <v>-45361.222260075258</v>
      </c>
      <c r="EY43" s="518">
        <v>0</v>
      </c>
      <c r="EZ43" s="518">
        <v>1158601.0746438568</v>
      </c>
      <c r="FB43" s="518">
        <v>0</v>
      </c>
      <c r="FC43" s="518">
        <v>-11011.875420409517</v>
      </c>
      <c r="FF43" s="518">
        <v>1037519.0508809875</v>
      </c>
      <c r="FI43" s="488">
        <v>3236.3158509604941</v>
      </c>
      <c r="FK43" s="488">
        <v>358</v>
      </c>
      <c r="FL43" s="488">
        <v>0</v>
      </c>
      <c r="FM43" s="488">
        <v>358</v>
      </c>
    </row>
    <row r="44" spans="1:169" s="488" customFormat="1" x14ac:dyDescent="0.2">
      <c r="A44" s="489" t="s">
        <v>25</v>
      </c>
      <c r="B44" s="489" t="s">
        <v>832</v>
      </c>
      <c r="C44" s="489">
        <v>5203</v>
      </c>
      <c r="D44" s="488" t="s">
        <v>169</v>
      </c>
      <c r="E44" s="490"/>
      <c r="F44" s="490"/>
      <c r="G44" s="490"/>
      <c r="H44" s="490"/>
      <c r="I44" s="490"/>
      <c r="J44" s="490"/>
      <c r="K44" s="490"/>
      <c r="L44" s="490"/>
      <c r="M44" s="490"/>
      <c r="N44" s="528">
        <v>481</v>
      </c>
      <c r="O44" s="529">
        <v>749.97519999999997</v>
      </c>
      <c r="P44" s="530">
        <v>1235834.804956662</v>
      </c>
      <c r="Q44" s="528">
        <v>0</v>
      </c>
      <c r="R44" s="529">
        <v>0</v>
      </c>
      <c r="S44" s="530">
        <v>0</v>
      </c>
      <c r="T44" s="531">
        <v>0</v>
      </c>
      <c r="U44" s="529">
        <v>0</v>
      </c>
      <c r="V44" s="530">
        <v>0</v>
      </c>
      <c r="W44" s="491"/>
      <c r="X44" s="532">
        <v>0</v>
      </c>
      <c r="Y44" s="530">
        <v>0</v>
      </c>
      <c r="Z44" s="529">
        <v>481</v>
      </c>
      <c r="AA44" s="532">
        <v>749.97519999999997</v>
      </c>
      <c r="AB44" s="530">
        <v>1235834</v>
      </c>
      <c r="AC44" s="490"/>
      <c r="AD44" s="490"/>
      <c r="AE44" s="490"/>
      <c r="AF44" s="490"/>
      <c r="AG44" s="490"/>
      <c r="AH44" s="490"/>
      <c r="AI44" s="533"/>
      <c r="AJ44" s="530">
        <v>481</v>
      </c>
      <c r="AK44" s="530">
        <v>8323.43</v>
      </c>
      <c r="AL44" s="530">
        <v>9762.86</v>
      </c>
      <c r="AM44" s="534"/>
      <c r="AN44" s="530">
        <v>0</v>
      </c>
      <c r="AO44" s="535">
        <v>277.60000000000002</v>
      </c>
      <c r="AP44" s="530">
        <v>10680.676161357831</v>
      </c>
      <c r="AQ44" s="536">
        <v>0</v>
      </c>
      <c r="AR44" s="530">
        <v>0</v>
      </c>
      <c r="AS44" s="490"/>
      <c r="AT44" s="536">
        <v>45</v>
      </c>
      <c r="AU44" s="536">
        <v>30</v>
      </c>
      <c r="AV44" s="537">
        <v>36.25</v>
      </c>
      <c r="AW44" s="538">
        <v>21773.480944900642</v>
      </c>
      <c r="AX44" s="539"/>
      <c r="AY44" s="535">
        <v>0</v>
      </c>
      <c r="AZ44" s="540"/>
      <c r="BA44" s="499"/>
      <c r="BB44" s="528">
        <v>3</v>
      </c>
      <c r="BC44" s="528">
        <v>2285.1928783382787</v>
      </c>
      <c r="BD44" s="528">
        <v>12</v>
      </c>
      <c r="BE44" s="538">
        <v>3921.4073308812622</v>
      </c>
      <c r="BF44" s="535">
        <v>477</v>
      </c>
      <c r="BG44" s="535">
        <v>50</v>
      </c>
      <c r="BH44" s="535">
        <v>480</v>
      </c>
      <c r="BI44" s="535">
        <v>43</v>
      </c>
      <c r="BJ44" s="536">
        <v>481</v>
      </c>
      <c r="BK44" s="536">
        <v>52</v>
      </c>
      <c r="BL44" s="541">
        <v>479.33</v>
      </c>
      <c r="BM44" s="541">
        <v>48.33</v>
      </c>
      <c r="BN44" s="542">
        <v>10.08</v>
      </c>
      <c r="BO44" s="529">
        <v>48.48</v>
      </c>
      <c r="BP44" s="528">
        <v>71494.203242152144</v>
      </c>
      <c r="BQ44" s="536">
        <v>23</v>
      </c>
      <c r="BR44" s="530">
        <v>4622.34</v>
      </c>
      <c r="BS44" s="536">
        <v>42</v>
      </c>
      <c r="BT44" s="530">
        <v>8487.5809263528772</v>
      </c>
      <c r="BU44" s="530">
        <v>172</v>
      </c>
      <c r="BV44" s="530">
        <v>39109.606179857161</v>
      </c>
      <c r="BW44" s="536">
        <v>8</v>
      </c>
      <c r="BX44" s="530">
        <v>6848.9393980209397</v>
      </c>
      <c r="BY44" s="500"/>
      <c r="BZ44" s="282"/>
      <c r="CA44" s="282"/>
      <c r="CB44" s="490"/>
      <c r="CC44" s="490"/>
      <c r="CD44" s="490"/>
      <c r="CE44" s="282"/>
      <c r="CF44" s="490"/>
      <c r="CG44" s="543">
        <v>481</v>
      </c>
      <c r="CH44" s="532" t="e">
        <v>#DIV/0!</v>
      </c>
      <c r="CI44" s="532" t="e">
        <v>#DIV/0!</v>
      </c>
      <c r="CJ44" s="544"/>
      <c r="CK44" s="490"/>
      <c r="CL44" s="545">
        <v>2069</v>
      </c>
      <c r="CM44" s="546">
        <v>2</v>
      </c>
      <c r="CN44" s="532">
        <v>4138</v>
      </c>
      <c r="CO44" s="530">
        <v>5922.89</v>
      </c>
      <c r="CP44" s="490"/>
      <c r="CQ44" s="490"/>
      <c r="CR44" s="490"/>
      <c r="CS44" s="490"/>
      <c r="CT44" s="490"/>
      <c r="CU44" s="490"/>
      <c r="CV44" s="490"/>
      <c r="CW44" s="490"/>
      <c r="CX44" s="490"/>
      <c r="CY44" s="547"/>
      <c r="CZ44" s="530">
        <v>0</v>
      </c>
      <c r="DA44" s="506">
        <v>4442.6000000000004</v>
      </c>
      <c r="DB44" s="548">
        <v>5067926</v>
      </c>
      <c r="DC44" s="537">
        <v>50.679259999999999</v>
      </c>
      <c r="DD44" s="530">
        <v>9676.9500000000007</v>
      </c>
      <c r="DE44" s="490"/>
      <c r="DF44" s="529">
        <v>1</v>
      </c>
      <c r="DG44" s="549">
        <v>70073.495851086889</v>
      </c>
      <c r="DH44" s="550"/>
      <c r="DI44" s="530">
        <v>0</v>
      </c>
      <c r="DJ44" s="551"/>
      <c r="DK44" s="552"/>
      <c r="DL44" s="282"/>
      <c r="DM44" s="490"/>
      <c r="DN44" s="509"/>
      <c r="DO44" s="553">
        <v>1</v>
      </c>
      <c r="DP44" s="530">
        <v>1661.1876848732834</v>
      </c>
      <c r="DQ44" s="282"/>
      <c r="DR44" s="510"/>
      <c r="DS44" s="282"/>
      <c r="DT44" s="541">
        <v>0</v>
      </c>
      <c r="DU44" s="541">
        <v>0</v>
      </c>
      <c r="DV44" s="490"/>
      <c r="DW44" s="490"/>
      <c r="DX44" s="511"/>
      <c r="DY44" s="512">
        <v>13988.362700000005</v>
      </c>
      <c r="DZ44" s="513">
        <v>1528909.2032978216</v>
      </c>
      <c r="EA44" s="513">
        <v>0</v>
      </c>
      <c r="EB44" s="514">
        <v>2002</v>
      </c>
      <c r="EC44" s="514">
        <v>0</v>
      </c>
      <c r="ED44" s="514">
        <v>0</v>
      </c>
      <c r="EE44" s="494"/>
      <c r="EF44" s="513">
        <v>1530911.2032978216</v>
      </c>
      <c r="EG44" s="513">
        <v>1526468.6032978215</v>
      </c>
      <c r="EH44" s="515">
        <v>481</v>
      </c>
      <c r="EI44" s="516">
        <v>20175.021352694635</v>
      </c>
      <c r="EJ44" s="517"/>
      <c r="EL44" s="518"/>
      <c r="EM44" s="518">
        <v>1530911.2032978216</v>
      </c>
      <c r="EN44" s="518">
        <v>0</v>
      </c>
      <c r="EO44" s="518">
        <v>0</v>
      </c>
      <c r="EP44" s="518">
        <v>0</v>
      </c>
      <c r="EQ44" s="518">
        <v>-21773.480944900642</v>
      </c>
      <c r="ER44" s="518">
        <v>0</v>
      </c>
      <c r="ES44" s="518">
        <v>-2002</v>
      </c>
      <c r="ET44" s="518">
        <v>0</v>
      </c>
      <c r="EU44" s="518">
        <v>0</v>
      </c>
      <c r="EV44" s="518">
        <v>0</v>
      </c>
      <c r="EW44" s="518">
        <v>0</v>
      </c>
      <c r="EX44" s="518">
        <v>0</v>
      </c>
      <c r="EY44" s="518">
        <v>0</v>
      </c>
      <c r="EZ44" s="518">
        <v>1507135.722352921</v>
      </c>
      <c r="FB44" s="518">
        <v>0</v>
      </c>
      <c r="FC44" s="518">
        <v>-21773.480944900642</v>
      </c>
      <c r="FF44" s="518">
        <v>1361855.4693832421</v>
      </c>
      <c r="FI44" s="488">
        <v>3139.8660882352519</v>
      </c>
      <c r="FK44" s="488">
        <v>480</v>
      </c>
      <c r="FL44" s="488">
        <v>0</v>
      </c>
      <c r="FM44" s="488">
        <v>480</v>
      </c>
    </row>
    <row r="45" spans="1:169" s="488" customFormat="1" x14ac:dyDescent="0.2">
      <c r="A45" s="557" t="s">
        <v>26</v>
      </c>
      <c r="B45" s="557" t="s">
        <v>833</v>
      </c>
      <c r="C45" s="557">
        <v>2451</v>
      </c>
      <c r="D45" s="488" t="s">
        <v>169</v>
      </c>
      <c r="E45" s="490"/>
      <c r="F45" s="490"/>
      <c r="G45" s="490"/>
      <c r="H45" s="490"/>
      <c r="I45" s="490"/>
      <c r="J45" s="490"/>
      <c r="K45" s="490"/>
      <c r="L45" s="490"/>
      <c r="M45" s="490"/>
      <c r="N45" s="528">
        <v>252</v>
      </c>
      <c r="O45" s="529">
        <v>392.91839999999996</v>
      </c>
      <c r="P45" s="530">
        <v>647464.38845962321</v>
      </c>
      <c r="Q45" s="528">
        <v>121</v>
      </c>
      <c r="R45" s="529">
        <v>179.92700000000002</v>
      </c>
      <c r="S45" s="530">
        <v>296489.86920025799</v>
      </c>
      <c r="T45" s="531">
        <v>65</v>
      </c>
      <c r="U45" s="529">
        <v>114.66</v>
      </c>
      <c r="V45" s="530">
        <v>188940.67262001577</v>
      </c>
      <c r="W45" s="491"/>
      <c r="X45" s="532">
        <v>0</v>
      </c>
      <c r="Y45" s="530">
        <v>0</v>
      </c>
      <c r="Z45" s="529">
        <v>438</v>
      </c>
      <c r="AA45" s="532">
        <v>687.50540000000001</v>
      </c>
      <c r="AB45" s="530">
        <v>1132895</v>
      </c>
      <c r="AC45" s="490"/>
      <c r="AD45" s="490"/>
      <c r="AE45" s="490"/>
      <c r="AF45" s="490"/>
      <c r="AG45" s="490"/>
      <c r="AH45" s="490"/>
      <c r="AI45" s="533"/>
      <c r="AJ45" s="530">
        <v>0</v>
      </c>
      <c r="AK45" s="530">
        <v>0</v>
      </c>
      <c r="AL45" s="530">
        <v>8890.09</v>
      </c>
      <c r="AM45" s="534"/>
      <c r="AN45" s="530">
        <v>0</v>
      </c>
      <c r="AO45" s="535">
        <v>155.4</v>
      </c>
      <c r="AP45" s="530">
        <v>5979.0240471001689</v>
      </c>
      <c r="AQ45" s="536">
        <v>3</v>
      </c>
      <c r="AR45" s="530">
        <v>34020.916695056439</v>
      </c>
      <c r="AS45" s="490"/>
      <c r="AT45" s="536">
        <v>5</v>
      </c>
      <c r="AU45" s="536">
        <v>5</v>
      </c>
      <c r="AV45" s="537">
        <v>5</v>
      </c>
      <c r="AW45" s="538">
        <v>3003.2387510207782</v>
      </c>
      <c r="AX45" s="539"/>
      <c r="AY45" s="535">
        <v>0</v>
      </c>
      <c r="AZ45" s="540"/>
      <c r="BA45" s="499"/>
      <c r="BB45" s="528">
        <v>4</v>
      </c>
      <c r="BC45" s="528">
        <v>3046.9238377843717</v>
      </c>
      <c r="BD45" s="528">
        <v>13</v>
      </c>
      <c r="BE45" s="538">
        <v>4248.1912751213677</v>
      </c>
      <c r="BF45" s="535">
        <v>441</v>
      </c>
      <c r="BG45" s="535">
        <v>54</v>
      </c>
      <c r="BH45" s="535">
        <v>440</v>
      </c>
      <c r="BI45" s="535">
        <v>58</v>
      </c>
      <c r="BJ45" s="536">
        <v>438</v>
      </c>
      <c r="BK45" s="536">
        <v>63</v>
      </c>
      <c r="BL45" s="541">
        <v>439.67</v>
      </c>
      <c r="BM45" s="541">
        <v>58.33</v>
      </c>
      <c r="BN45" s="542">
        <v>13.27</v>
      </c>
      <c r="BO45" s="529">
        <v>58.12</v>
      </c>
      <c r="BP45" s="528">
        <v>85710.459827431565</v>
      </c>
      <c r="BQ45" s="536">
        <v>8</v>
      </c>
      <c r="BR45" s="530">
        <v>1607.77</v>
      </c>
      <c r="BS45" s="536">
        <v>14</v>
      </c>
      <c r="BT45" s="530">
        <v>2829.1936421176256</v>
      </c>
      <c r="BU45" s="530">
        <v>395</v>
      </c>
      <c r="BV45" s="530">
        <v>89815.66535490453</v>
      </c>
      <c r="BW45" s="536">
        <v>12</v>
      </c>
      <c r="BX45" s="530">
        <v>10273.40909703141</v>
      </c>
      <c r="BY45" s="500"/>
      <c r="BZ45" s="282"/>
      <c r="CA45" s="282"/>
      <c r="CB45" s="490"/>
      <c r="CC45" s="490"/>
      <c r="CD45" s="490"/>
      <c r="CE45" s="282"/>
      <c r="CF45" s="490"/>
      <c r="CG45" s="543">
        <v>438</v>
      </c>
      <c r="CH45" s="532" t="e">
        <v>#DIV/0!</v>
      </c>
      <c r="CI45" s="532" t="e">
        <v>#DIV/0!</v>
      </c>
      <c r="CJ45" s="544"/>
      <c r="CK45" s="490"/>
      <c r="CL45" s="545">
        <v>2571.8159432780749</v>
      </c>
      <c r="CM45" s="546">
        <v>2</v>
      </c>
      <c r="CN45" s="532">
        <v>5143.6318865561498</v>
      </c>
      <c r="CO45" s="530">
        <v>7362.3</v>
      </c>
      <c r="CP45" s="490"/>
      <c r="CQ45" s="490"/>
      <c r="CR45" s="490"/>
      <c r="CS45" s="490"/>
      <c r="CT45" s="490"/>
      <c r="CU45" s="490"/>
      <c r="CV45" s="490"/>
      <c r="CW45" s="490"/>
      <c r="CX45" s="490"/>
      <c r="CY45" s="547"/>
      <c r="CZ45" s="530">
        <v>0</v>
      </c>
      <c r="DA45" s="506">
        <v>22098.5</v>
      </c>
      <c r="DB45" s="548"/>
      <c r="DC45" s="537">
        <v>0</v>
      </c>
      <c r="DD45" s="530">
        <v>0</v>
      </c>
      <c r="DE45" s="490"/>
      <c r="DF45" s="529">
        <v>1</v>
      </c>
      <c r="DG45" s="549">
        <v>70073.495851086889</v>
      </c>
      <c r="DH45" s="550"/>
      <c r="DI45" s="530">
        <v>0</v>
      </c>
      <c r="DJ45" s="551"/>
      <c r="DK45" s="552"/>
      <c r="DL45" s="282"/>
      <c r="DM45" s="490"/>
      <c r="DN45" s="509"/>
      <c r="DO45" s="553">
        <v>1</v>
      </c>
      <c r="DP45" s="530">
        <v>1512.6823409033225</v>
      </c>
      <c r="DQ45" s="282"/>
      <c r="DR45" s="510"/>
      <c r="DS45" s="282"/>
      <c r="DT45" s="541">
        <v>0</v>
      </c>
      <c r="DU45" s="541">
        <v>0</v>
      </c>
      <c r="DV45" s="490"/>
      <c r="DW45" s="490"/>
      <c r="DX45" s="511">
        <v>114332.50380000001</v>
      </c>
      <c r="DY45" s="512">
        <v>0</v>
      </c>
      <c r="DZ45" s="513">
        <v>1597699.3645195586</v>
      </c>
      <c r="EA45" s="513">
        <v>0</v>
      </c>
      <c r="EB45" s="514">
        <v>0</v>
      </c>
      <c r="EC45" s="514">
        <v>0</v>
      </c>
      <c r="ED45" s="514">
        <v>1289.6031999999977</v>
      </c>
      <c r="EE45" s="494"/>
      <c r="EF45" s="513">
        <v>1598988.9677195586</v>
      </c>
      <c r="EG45" s="513">
        <v>1576890.4677195586</v>
      </c>
      <c r="EH45" s="515">
        <v>438</v>
      </c>
      <c r="EI45" s="516">
        <v>18371.433165239603</v>
      </c>
      <c r="EJ45" s="517"/>
      <c r="EL45" s="518"/>
      <c r="EM45" s="518">
        <v>1598988.9677195586</v>
      </c>
      <c r="EN45" s="518">
        <v>-114332.50380000001</v>
      </c>
      <c r="EO45" s="518">
        <v>-1289.6031999999977</v>
      </c>
      <c r="EP45" s="518">
        <v>0</v>
      </c>
      <c r="EQ45" s="518">
        <v>-3003.2387510207782</v>
      </c>
      <c r="ER45" s="518">
        <v>0</v>
      </c>
      <c r="ES45" s="518">
        <v>0</v>
      </c>
      <c r="ET45" s="518">
        <v>0</v>
      </c>
      <c r="EU45" s="518">
        <v>0</v>
      </c>
      <c r="EV45" s="518">
        <v>0</v>
      </c>
      <c r="EW45" s="518">
        <v>0</v>
      </c>
      <c r="EX45" s="518">
        <v>-34020.916695056439</v>
      </c>
      <c r="EY45" s="518">
        <v>0</v>
      </c>
      <c r="EZ45" s="518">
        <v>1446342.7052734813</v>
      </c>
      <c r="FB45" s="518">
        <v>115622.107</v>
      </c>
      <c r="FC45" s="518">
        <v>-3003.2387510207782</v>
      </c>
      <c r="FF45" s="518">
        <v>1324861.9104580551</v>
      </c>
      <c r="FI45" s="488">
        <v>3317.2997827373424</v>
      </c>
      <c r="FK45" s="488">
        <v>436</v>
      </c>
      <c r="FL45" s="488">
        <v>0</v>
      </c>
      <c r="FM45" s="488">
        <v>436</v>
      </c>
    </row>
    <row r="46" spans="1:169" s="488" customFormat="1" x14ac:dyDescent="0.2">
      <c r="A46" s="489" t="s">
        <v>27</v>
      </c>
      <c r="B46" s="489" t="s">
        <v>834</v>
      </c>
      <c r="C46" s="489">
        <v>2409</v>
      </c>
      <c r="D46" s="488" t="s">
        <v>169</v>
      </c>
      <c r="E46" s="490"/>
      <c r="F46" s="490"/>
      <c r="G46" s="490"/>
      <c r="H46" s="490"/>
      <c r="I46" s="490"/>
      <c r="J46" s="490"/>
      <c r="K46" s="490"/>
      <c r="L46" s="490"/>
      <c r="M46" s="490"/>
      <c r="N46" s="528">
        <v>322</v>
      </c>
      <c r="O46" s="529">
        <v>502.06239999999997</v>
      </c>
      <c r="P46" s="530">
        <v>827315.60747618531</v>
      </c>
      <c r="Q46" s="528">
        <v>152</v>
      </c>
      <c r="R46" s="529">
        <v>226.024</v>
      </c>
      <c r="S46" s="530">
        <v>372450.08362346457</v>
      </c>
      <c r="T46" s="531">
        <v>81</v>
      </c>
      <c r="U46" s="529">
        <v>142.88400000000001</v>
      </c>
      <c r="V46" s="530">
        <v>235449.14588032739</v>
      </c>
      <c r="W46" s="491"/>
      <c r="X46" s="532">
        <v>0</v>
      </c>
      <c r="Y46" s="530">
        <v>0</v>
      </c>
      <c r="Z46" s="529">
        <v>555</v>
      </c>
      <c r="AA46" s="532">
        <v>870.97039999999993</v>
      </c>
      <c r="AB46" s="530">
        <v>1435216</v>
      </c>
      <c r="AC46" s="490"/>
      <c r="AD46" s="490"/>
      <c r="AE46" s="490"/>
      <c r="AF46" s="490"/>
      <c r="AG46" s="490"/>
      <c r="AH46" s="490"/>
      <c r="AI46" s="533"/>
      <c r="AJ46" s="530">
        <v>0</v>
      </c>
      <c r="AK46" s="530">
        <v>0</v>
      </c>
      <c r="AL46" s="530">
        <v>11264.83</v>
      </c>
      <c r="AM46" s="534"/>
      <c r="AN46" s="530">
        <v>0</v>
      </c>
      <c r="AO46" s="535">
        <v>149.30000000000001</v>
      </c>
      <c r="AP46" s="530">
        <v>5744.3261919694669</v>
      </c>
      <c r="AQ46" s="536">
        <v>3</v>
      </c>
      <c r="AR46" s="530">
        <v>34020.916695056439</v>
      </c>
      <c r="AS46" s="490"/>
      <c r="AT46" s="536">
        <v>27.5</v>
      </c>
      <c r="AU46" s="536">
        <v>27.5</v>
      </c>
      <c r="AV46" s="537">
        <v>27.5</v>
      </c>
      <c r="AW46" s="538">
        <v>16517.813130614279</v>
      </c>
      <c r="AX46" s="539"/>
      <c r="AY46" s="535">
        <v>0</v>
      </c>
      <c r="AZ46" s="540"/>
      <c r="BA46" s="499"/>
      <c r="BB46" s="528">
        <v>31</v>
      </c>
      <c r="BC46" s="528">
        <v>23613.659742828881</v>
      </c>
      <c r="BD46" s="528">
        <v>32</v>
      </c>
      <c r="BE46" s="538">
        <v>10457.086215683366</v>
      </c>
      <c r="BF46" s="535">
        <v>547</v>
      </c>
      <c r="BG46" s="535">
        <v>113</v>
      </c>
      <c r="BH46" s="535">
        <v>549</v>
      </c>
      <c r="BI46" s="535">
        <v>115</v>
      </c>
      <c r="BJ46" s="536">
        <v>555</v>
      </c>
      <c r="BK46" s="536">
        <v>129</v>
      </c>
      <c r="BL46" s="541">
        <v>550.33000000000004</v>
      </c>
      <c r="BM46" s="541">
        <v>119</v>
      </c>
      <c r="BN46" s="542">
        <v>21.62</v>
      </c>
      <c r="BO46" s="529">
        <v>119.99</v>
      </c>
      <c r="BP46" s="528">
        <v>176951.10245515336</v>
      </c>
      <c r="BQ46" s="536">
        <v>405</v>
      </c>
      <c r="BR46" s="530">
        <v>81393.429999999993</v>
      </c>
      <c r="BS46" s="536">
        <v>453</v>
      </c>
      <c r="BT46" s="530">
        <v>91544.622848520317</v>
      </c>
      <c r="BU46" s="530">
        <v>1306</v>
      </c>
      <c r="BV46" s="530">
        <v>296960.14924938057</v>
      </c>
      <c r="BW46" s="536">
        <v>26</v>
      </c>
      <c r="BX46" s="530">
        <v>22259.053043568056</v>
      </c>
      <c r="BY46" s="500"/>
      <c r="BZ46" s="282"/>
      <c r="CA46" s="282"/>
      <c r="CB46" s="490"/>
      <c r="CC46" s="490"/>
      <c r="CD46" s="490"/>
      <c r="CE46" s="282"/>
      <c r="CF46" s="490"/>
      <c r="CG46" s="543">
        <v>555</v>
      </c>
      <c r="CH46" s="532" t="e">
        <v>#DIV/0!</v>
      </c>
      <c r="CI46" s="532" t="e">
        <v>#DIV/0!</v>
      </c>
      <c r="CJ46" s="544"/>
      <c r="CK46" s="490"/>
      <c r="CL46" s="545">
        <v>2658.63</v>
      </c>
      <c r="CM46" s="546">
        <v>1</v>
      </c>
      <c r="CN46" s="532">
        <v>2658.63</v>
      </c>
      <c r="CO46" s="530">
        <v>3805.41</v>
      </c>
      <c r="CP46" s="490"/>
      <c r="CQ46" s="490"/>
      <c r="CR46" s="490"/>
      <c r="CS46" s="490"/>
      <c r="CT46" s="490"/>
      <c r="CU46" s="490"/>
      <c r="CV46" s="490"/>
      <c r="CW46" s="490"/>
      <c r="CX46" s="490"/>
      <c r="CY46" s="547"/>
      <c r="CZ46" s="530">
        <v>0</v>
      </c>
      <c r="DA46" s="506">
        <v>30457</v>
      </c>
      <c r="DB46" s="548"/>
      <c r="DC46" s="537">
        <v>0</v>
      </c>
      <c r="DD46" s="530">
        <v>0</v>
      </c>
      <c r="DE46" s="490"/>
      <c r="DF46" s="529">
        <v>1</v>
      </c>
      <c r="DG46" s="549">
        <v>70073.495851086889</v>
      </c>
      <c r="DH46" s="550"/>
      <c r="DI46" s="530">
        <v>0</v>
      </c>
      <c r="DJ46" s="551"/>
      <c r="DK46" s="552"/>
      <c r="DL46" s="282"/>
      <c r="DM46" s="490"/>
      <c r="DN46" s="509"/>
      <c r="DO46" s="553">
        <v>0</v>
      </c>
      <c r="DP46" s="530">
        <v>0</v>
      </c>
      <c r="DQ46" s="282"/>
      <c r="DR46" s="510"/>
      <c r="DS46" s="282"/>
      <c r="DT46" s="541">
        <v>0</v>
      </c>
      <c r="DU46" s="541">
        <v>0</v>
      </c>
      <c r="DV46" s="490"/>
      <c r="DW46" s="490"/>
      <c r="DX46" s="511"/>
      <c r="DY46" s="512">
        <v>7724.8324999999995</v>
      </c>
      <c r="DZ46" s="513">
        <v>2318003.7279238617</v>
      </c>
      <c r="EA46" s="513">
        <v>0</v>
      </c>
      <c r="EB46" s="514">
        <v>11388</v>
      </c>
      <c r="EC46" s="514">
        <v>0</v>
      </c>
      <c r="ED46" s="514">
        <v>0</v>
      </c>
      <c r="EE46" s="494"/>
      <c r="EF46" s="513">
        <v>2329391.7279238617</v>
      </c>
      <c r="EG46" s="513">
        <v>2298934.7279238617</v>
      </c>
      <c r="EH46" s="515">
        <v>555</v>
      </c>
      <c r="EI46" s="516">
        <v>23278.870791570731</v>
      </c>
      <c r="EJ46" s="517"/>
      <c r="EL46" s="518"/>
      <c r="EM46" s="518">
        <v>2329391.7279238617</v>
      </c>
      <c r="EN46" s="518">
        <v>0</v>
      </c>
      <c r="EO46" s="518">
        <v>0</v>
      </c>
      <c r="EP46" s="518">
        <v>0</v>
      </c>
      <c r="EQ46" s="518">
        <v>-16517.813130614279</v>
      </c>
      <c r="ER46" s="518">
        <v>0</v>
      </c>
      <c r="ES46" s="518">
        <v>-11388</v>
      </c>
      <c r="ET46" s="518">
        <v>0</v>
      </c>
      <c r="EU46" s="518">
        <v>0</v>
      </c>
      <c r="EV46" s="518">
        <v>0</v>
      </c>
      <c r="EW46" s="518">
        <v>0</v>
      </c>
      <c r="EX46" s="518">
        <v>-34020.916695056439</v>
      </c>
      <c r="EY46" s="518">
        <v>0</v>
      </c>
      <c r="EZ46" s="518">
        <v>2267464.9980981909</v>
      </c>
      <c r="FB46" s="518">
        <v>0</v>
      </c>
      <c r="FC46" s="518">
        <v>-16517.813130614279</v>
      </c>
      <c r="FF46" s="518">
        <v>2036393.3944909307</v>
      </c>
      <c r="FI46" s="488">
        <v>4152.8662968831331</v>
      </c>
      <c r="FK46" s="488">
        <v>546</v>
      </c>
      <c r="FL46" s="488">
        <v>0</v>
      </c>
      <c r="FM46" s="488">
        <v>546</v>
      </c>
    </row>
    <row r="47" spans="1:169" s="488" customFormat="1" x14ac:dyDescent="0.2">
      <c r="A47" s="489" t="s">
        <v>29</v>
      </c>
      <c r="B47" s="489" t="s">
        <v>835</v>
      </c>
      <c r="C47" s="489">
        <v>2619</v>
      </c>
      <c r="D47" s="488" t="s">
        <v>169</v>
      </c>
      <c r="E47" s="490"/>
      <c r="F47" s="490"/>
      <c r="G47" s="490"/>
      <c r="H47" s="490"/>
      <c r="I47" s="490"/>
      <c r="J47" s="490"/>
      <c r="K47" s="490"/>
      <c r="L47" s="490"/>
      <c r="M47" s="490"/>
      <c r="N47" s="528">
        <v>99</v>
      </c>
      <c r="O47" s="529">
        <v>154.36079999999998</v>
      </c>
      <c r="P47" s="530">
        <v>254361.00975199483</v>
      </c>
      <c r="Q47" s="528">
        <v>52</v>
      </c>
      <c r="R47" s="529">
        <v>77.324000000000012</v>
      </c>
      <c r="S47" s="530">
        <v>127417.13387118527</v>
      </c>
      <c r="T47" s="531">
        <v>30</v>
      </c>
      <c r="U47" s="529">
        <v>52.92</v>
      </c>
      <c r="V47" s="530">
        <v>87203.387363084214</v>
      </c>
      <c r="W47" s="491"/>
      <c r="X47" s="532">
        <v>0</v>
      </c>
      <c r="Y47" s="530">
        <v>0</v>
      </c>
      <c r="Z47" s="529">
        <v>181</v>
      </c>
      <c r="AA47" s="532">
        <v>284.60480000000001</v>
      </c>
      <c r="AB47" s="530">
        <v>468981</v>
      </c>
      <c r="AC47" s="490"/>
      <c r="AD47" s="490"/>
      <c r="AE47" s="490"/>
      <c r="AF47" s="490"/>
      <c r="AG47" s="490"/>
      <c r="AH47" s="490"/>
      <c r="AI47" s="533"/>
      <c r="AJ47" s="530">
        <v>0</v>
      </c>
      <c r="AK47" s="530">
        <v>0</v>
      </c>
      <c r="AL47" s="530">
        <v>3673.76</v>
      </c>
      <c r="AM47" s="534"/>
      <c r="AN47" s="530">
        <v>0</v>
      </c>
      <c r="AO47" s="535">
        <v>26.7</v>
      </c>
      <c r="AP47" s="530">
        <v>1027.2840544245464</v>
      </c>
      <c r="AQ47" s="536">
        <v>1</v>
      </c>
      <c r="AR47" s="530">
        <v>11340.305565018814</v>
      </c>
      <c r="AS47" s="490"/>
      <c r="AT47" s="536">
        <v>10</v>
      </c>
      <c r="AU47" s="536">
        <v>0</v>
      </c>
      <c r="AV47" s="537">
        <v>4.166666666666667</v>
      </c>
      <c r="AW47" s="538">
        <v>2502.698959183982</v>
      </c>
      <c r="AX47" s="539"/>
      <c r="AY47" s="535">
        <v>0</v>
      </c>
      <c r="AZ47" s="540"/>
      <c r="BA47" s="499"/>
      <c r="BB47" s="528">
        <v>8</v>
      </c>
      <c r="BC47" s="528">
        <v>6093.8476755687434</v>
      </c>
      <c r="BD47" s="528">
        <v>19</v>
      </c>
      <c r="BE47" s="538">
        <v>6208.8949405619987</v>
      </c>
      <c r="BF47" s="535">
        <v>189</v>
      </c>
      <c r="BG47" s="535">
        <v>92</v>
      </c>
      <c r="BH47" s="535">
        <v>177</v>
      </c>
      <c r="BI47" s="535">
        <v>103</v>
      </c>
      <c r="BJ47" s="536">
        <v>181</v>
      </c>
      <c r="BK47" s="536">
        <v>106</v>
      </c>
      <c r="BL47" s="541">
        <v>182.33</v>
      </c>
      <c r="BM47" s="541">
        <v>100.33</v>
      </c>
      <c r="BN47" s="542">
        <v>55.03</v>
      </c>
      <c r="BO47" s="529">
        <v>99.6</v>
      </c>
      <c r="BP47" s="528">
        <v>146881.65517570861</v>
      </c>
      <c r="BQ47" s="536">
        <v>19</v>
      </c>
      <c r="BR47" s="530">
        <v>3818.46</v>
      </c>
      <c r="BS47" s="536">
        <v>6</v>
      </c>
      <c r="BT47" s="530">
        <v>1212.5115609075538</v>
      </c>
      <c r="BU47" s="530">
        <v>463</v>
      </c>
      <c r="BV47" s="530">
        <v>105277.60268182481</v>
      </c>
      <c r="BW47" s="536">
        <v>9</v>
      </c>
      <c r="BX47" s="530">
        <v>7705.0568227735575</v>
      </c>
      <c r="BY47" s="500"/>
      <c r="BZ47" s="282"/>
      <c r="CA47" s="282"/>
      <c r="CB47" s="490"/>
      <c r="CC47" s="490"/>
      <c r="CD47" s="490"/>
      <c r="CE47" s="282"/>
      <c r="CF47" s="490"/>
      <c r="CG47" s="543">
        <v>181</v>
      </c>
      <c r="CH47" s="532" t="e">
        <v>#DIV/0!</v>
      </c>
      <c r="CI47" s="532" t="e">
        <v>#DIV/0!</v>
      </c>
      <c r="CJ47" s="544"/>
      <c r="CK47" s="490"/>
      <c r="CL47" s="545">
        <v>1510.5191510365253</v>
      </c>
      <c r="CM47" s="546">
        <v>2</v>
      </c>
      <c r="CN47" s="532">
        <v>3021.0383020730505</v>
      </c>
      <c r="CO47" s="530">
        <v>4324.1400000000003</v>
      </c>
      <c r="CP47" s="490"/>
      <c r="CQ47" s="490"/>
      <c r="CR47" s="490"/>
      <c r="CS47" s="490"/>
      <c r="CT47" s="490"/>
      <c r="CU47" s="490"/>
      <c r="CV47" s="490"/>
      <c r="CW47" s="490"/>
      <c r="CX47" s="490"/>
      <c r="CY47" s="547"/>
      <c r="CZ47" s="530">
        <v>0</v>
      </c>
      <c r="DA47" s="506">
        <v>26106</v>
      </c>
      <c r="DB47" s="548"/>
      <c r="DC47" s="537">
        <v>0</v>
      </c>
      <c r="DD47" s="530">
        <v>0</v>
      </c>
      <c r="DE47" s="490"/>
      <c r="DF47" s="529">
        <v>1</v>
      </c>
      <c r="DG47" s="549">
        <v>70073.495851086889</v>
      </c>
      <c r="DH47" s="550"/>
      <c r="DI47" s="530">
        <v>0</v>
      </c>
      <c r="DJ47" s="551"/>
      <c r="DK47" s="552"/>
      <c r="DL47" s="282"/>
      <c r="DM47" s="490"/>
      <c r="DN47" s="509"/>
      <c r="DO47" s="553">
        <v>0</v>
      </c>
      <c r="DP47" s="530">
        <v>0</v>
      </c>
      <c r="DQ47" s="282"/>
      <c r="DR47" s="510"/>
      <c r="DS47" s="282"/>
      <c r="DT47" s="541">
        <v>0</v>
      </c>
      <c r="DU47" s="541">
        <v>0</v>
      </c>
      <c r="DV47" s="490"/>
      <c r="DW47" s="490"/>
      <c r="DX47" s="511">
        <v>84390.865399999995</v>
      </c>
      <c r="DY47" s="512">
        <v>10885.09204</v>
      </c>
      <c r="DZ47" s="513">
        <v>960502.67072705959</v>
      </c>
      <c r="EA47" s="513">
        <v>0</v>
      </c>
      <c r="EB47" s="514">
        <v>5256</v>
      </c>
      <c r="EC47" s="514">
        <v>0</v>
      </c>
      <c r="ED47" s="514">
        <v>-3039.4257999999973</v>
      </c>
      <c r="EE47" s="494"/>
      <c r="EF47" s="513">
        <v>962719.24492705963</v>
      </c>
      <c r="EG47" s="513">
        <v>936613.24492705963</v>
      </c>
      <c r="EH47" s="515">
        <v>181</v>
      </c>
      <c r="EI47" s="516">
        <v>7591.8479518455897</v>
      </c>
      <c r="EJ47" s="517"/>
      <c r="EL47" s="518"/>
      <c r="EM47" s="518">
        <v>962719.24492705963</v>
      </c>
      <c r="EN47" s="518">
        <v>-84390.865399999995</v>
      </c>
      <c r="EO47" s="518">
        <v>3039.4257999999973</v>
      </c>
      <c r="EP47" s="518">
        <v>0</v>
      </c>
      <c r="EQ47" s="518">
        <v>-2502.698959183982</v>
      </c>
      <c r="ER47" s="518">
        <v>0</v>
      </c>
      <c r="ES47" s="518">
        <v>-5256</v>
      </c>
      <c r="ET47" s="518">
        <v>0</v>
      </c>
      <c r="EU47" s="518">
        <v>0</v>
      </c>
      <c r="EV47" s="518">
        <v>0</v>
      </c>
      <c r="EW47" s="518">
        <v>0</v>
      </c>
      <c r="EX47" s="518">
        <v>-11340.305565018814</v>
      </c>
      <c r="EY47" s="518">
        <v>0</v>
      </c>
      <c r="EZ47" s="518">
        <v>862268.8008028568</v>
      </c>
      <c r="FB47" s="518">
        <v>81351.439599999998</v>
      </c>
      <c r="FC47" s="518">
        <v>-2502.698959183982</v>
      </c>
      <c r="FF47" s="518">
        <v>738757.62235587568</v>
      </c>
      <c r="FI47" s="488">
        <v>4871.5751457788519</v>
      </c>
      <c r="FK47" s="488">
        <v>177</v>
      </c>
      <c r="FL47" s="488">
        <v>0</v>
      </c>
      <c r="FM47" s="488">
        <v>177</v>
      </c>
    </row>
    <row r="48" spans="1:169" s="488" customFormat="1" x14ac:dyDescent="0.2">
      <c r="A48" s="489" t="s">
        <v>30</v>
      </c>
      <c r="B48" s="489" t="s">
        <v>836</v>
      </c>
      <c r="C48" s="489">
        <v>2518</v>
      </c>
      <c r="D48" s="488" t="s">
        <v>169</v>
      </c>
      <c r="E48" s="490"/>
      <c r="F48" s="490"/>
      <c r="G48" s="490"/>
      <c r="H48" s="490"/>
      <c r="I48" s="490"/>
      <c r="J48" s="490"/>
      <c r="K48" s="490"/>
      <c r="L48" s="490"/>
      <c r="M48" s="490"/>
      <c r="N48" s="528">
        <v>125</v>
      </c>
      <c r="O48" s="529">
        <v>194.9</v>
      </c>
      <c r="P48" s="530">
        <v>321162.89110100357</v>
      </c>
      <c r="Q48" s="528">
        <v>86</v>
      </c>
      <c r="R48" s="529">
        <v>127.88200000000001</v>
      </c>
      <c r="S48" s="530">
        <v>210728.33678696022</v>
      </c>
      <c r="T48" s="531">
        <v>54</v>
      </c>
      <c r="U48" s="529">
        <v>95.256</v>
      </c>
      <c r="V48" s="530">
        <v>156966.09725355156</v>
      </c>
      <c r="W48" s="491"/>
      <c r="X48" s="532">
        <v>0</v>
      </c>
      <c r="Y48" s="530">
        <v>0</v>
      </c>
      <c r="Z48" s="529">
        <v>265</v>
      </c>
      <c r="AA48" s="532">
        <v>418.03800000000001</v>
      </c>
      <c r="AB48" s="530">
        <v>688857</v>
      </c>
      <c r="AC48" s="490"/>
      <c r="AD48" s="490"/>
      <c r="AE48" s="490"/>
      <c r="AF48" s="490"/>
      <c r="AG48" s="490"/>
      <c r="AH48" s="490"/>
      <c r="AI48" s="533"/>
      <c r="AJ48" s="530">
        <v>0</v>
      </c>
      <c r="AK48" s="530">
        <v>0</v>
      </c>
      <c r="AL48" s="530">
        <v>5378.7</v>
      </c>
      <c r="AM48" s="534"/>
      <c r="AN48" s="530">
        <v>0</v>
      </c>
      <c r="AO48" s="535">
        <v>56.8</v>
      </c>
      <c r="AP48" s="530">
        <v>2185.3833067907949</v>
      </c>
      <c r="AQ48" s="536">
        <v>2</v>
      </c>
      <c r="AR48" s="530">
        <v>22680.611130037629</v>
      </c>
      <c r="AS48" s="490"/>
      <c r="AT48" s="536">
        <v>10</v>
      </c>
      <c r="AU48" s="536">
        <v>5</v>
      </c>
      <c r="AV48" s="537">
        <v>7.083333333333333</v>
      </c>
      <c r="AW48" s="538">
        <v>4254.5882306127687</v>
      </c>
      <c r="AX48" s="539"/>
      <c r="AY48" s="535">
        <v>0</v>
      </c>
      <c r="AZ48" s="540"/>
      <c r="BA48" s="499"/>
      <c r="BB48" s="528">
        <v>38</v>
      </c>
      <c r="BC48" s="528">
        <v>28945.776458951532</v>
      </c>
      <c r="BD48" s="528">
        <v>42</v>
      </c>
      <c r="BE48" s="538">
        <v>13724.925658084418</v>
      </c>
      <c r="BF48" s="535">
        <v>185</v>
      </c>
      <c r="BG48" s="535">
        <v>68</v>
      </c>
      <c r="BH48" s="535">
        <v>217</v>
      </c>
      <c r="BI48" s="535">
        <v>75</v>
      </c>
      <c r="BJ48" s="536">
        <v>265</v>
      </c>
      <c r="BK48" s="536">
        <v>112</v>
      </c>
      <c r="BL48" s="541">
        <v>222.33</v>
      </c>
      <c r="BM48" s="541">
        <v>85</v>
      </c>
      <c r="BN48" s="542">
        <v>38.229999999999997</v>
      </c>
      <c r="BO48" s="529">
        <v>101.31</v>
      </c>
      <c r="BP48" s="528">
        <v>149403.41853264096</v>
      </c>
      <c r="BQ48" s="536">
        <v>111</v>
      </c>
      <c r="BR48" s="530">
        <v>22307.83</v>
      </c>
      <c r="BS48" s="536">
        <v>63</v>
      </c>
      <c r="BT48" s="530">
        <v>12731.371389529315</v>
      </c>
      <c r="BU48" s="530">
        <v>518</v>
      </c>
      <c r="BV48" s="530">
        <v>117783.58140212797</v>
      </c>
      <c r="BW48" s="536">
        <v>18</v>
      </c>
      <c r="BX48" s="530">
        <v>15410.113645547115</v>
      </c>
      <c r="BY48" s="500"/>
      <c r="BZ48" s="282"/>
      <c r="CA48" s="282"/>
      <c r="CB48" s="490"/>
      <c r="CC48" s="490"/>
      <c r="CD48" s="490"/>
      <c r="CE48" s="282"/>
      <c r="CF48" s="490"/>
      <c r="CG48" s="543">
        <v>265</v>
      </c>
      <c r="CH48" s="532" t="e">
        <v>#DIV/0!</v>
      </c>
      <c r="CI48" s="532" t="e">
        <v>#DIV/0!</v>
      </c>
      <c r="CJ48" s="544"/>
      <c r="CK48" s="490"/>
      <c r="CL48" s="545">
        <v>2394.0598375013974</v>
      </c>
      <c r="CM48" s="546">
        <v>2</v>
      </c>
      <c r="CN48" s="532">
        <v>4788.1196750027948</v>
      </c>
      <c r="CO48" s="530">
        <v>6853.44</v>
      </c>
      <c r="CP48" s="490"/>
      <c r="CQ48" s="490"/>
      <c r="CR48" s="490"/>
      <c r="CS48" s="490"/>
      <c r="CT48" s="490"/>
      <c r="CU48" s="490"/>
      <c r="CV48" s="490"/>
      <c r="CW48" s="490"/>
      <c r="CX48" s="490"/>
      <c r="CY48" s="547"/>
      <c r="CZ48" s="530">
        <v>0</v>
      </c>
      <c r="DA48" s="506">
        <v>10589.33</v>
      </c>
      <c r="DB48" s="548"/>
      <c r="DC48" s="537">
        <v>0</v>
      </c>
      <c r="DD48" s="530">
        <v>0</v>
      </c>
      <c r="DE48" s="490"/>
      <c r="DF48" s="529">
        <v>1</v>
      </c>
      <c r="DG48" s="549">
        <v>70073.495851086889</v>
      </c>
      <c r="DH48" s="550"/>
      <c r="DI48" s="530">
        <v>0</v>
      </c>
      <c r="DJ48" s="551"/>
      <c r="DK48" s="552"/>
      <c r="DL48" s="282"/>
      <c r="DM48" s="490"/>
      <c r="DN48" s="509"/>
      <c r="DO48" s="553">
        <v>0</v>
      </c>
      <c r="DP48" s="530">
        <v>0</v>
      </c>
      <c r="DQ48" s="282"/>
      <c r="DR48" s="510"/>
      <c r="DS48" s="282"/>
      <c r="DT48" s="541">
        <v>0</v>
      </c>
      <c r="DU48" s="541">
        <v>0</v>
      </c>
      <c r="DV48" s="490"/>
      <c r="DW48" s="490"/>
      <c r="DX48" s="511">
        <v>67452.079599999997</v>
      </c>
      <c r="DY48" s="512">
        <v>0</v>
      </c>
      <c r="DZ48" s="513">
        <v>1238631.6452054095</v>
      </c>
      <c r="EA48" s="513">
        <v>14802.588125592563</v>
      </c>
      <c r="EB48" s="514">
        <v>3879</v>
      </c>
      <c r="EC48" s="514">
        <v>0</v>
      </c>
      <c r="ED48" s="514">
        <v>6861.7660000000033</v>
      </c>
      <c r="EE48" s="494"/>
      <c r="EF48" s="513">
        <v>1264174.9993310021</v>
      </c>
      <c r="EG48" s="513">
        <v>1253585.669331002</v>
      </c>
      <c r="EH48" s="515">
        <v>265</v>
      </c>
      <c r="EI48" s="516">
        <v>11115.136504083323</v>
      </c>
      <c r="EJ48" s="517"/>
      <c r="EL48" s="518"/>
      <c r="EM48" s="518">
        <v>1264174.9993310021</v>
      </c>
      <c r="EN48" s="518">
        <v>-67452.079599999997</v>
      </c>
      <c r="EO48" s="518">
        <v>-6861.7660000000033</v>
      </c>
      <c r="EP48" s="518">
        <v>-913.61059729347653</v>
      </c>
      <c r="EQ48" s="518">
        <v>-4254.5882306127687</v>
      </c>
      <c r="ER48" s="518">
        <v>0</v>
      </c>
      <c r="ES48" s="518">
        <v>-3879</v>
      </c>
      <c r="ET48" s="518">
        <v>0</v>
      </c>
      <c r="EU48" s="518">
        <v>0</v>
      </c>
      <c r="EV48" s="518">
        <v>0</v>
      </c>
      <c r="EW48" s="518">
        <v>0</v>
      </c>
      <c r="EX48" s="518">
        <v>-22680.611130037629</v>
      </c>
      <c r="EY48" s="518">
        <v>0</v>
      </c>
      <c r="EZ48" s="518">
        <v>1158133.3437730581</v>
      </c>
      <c r="FB48" s="518">
        <v>75227.456197293475</v>
      </c>
      <c r="FC48" s="518">
        <v>-4254.5882306127687</v>
      </c>
      <c r="FF48" s="518">
        <v>1022707.7200392676</v>
      </c>
      <c r="FI48" s="488">
        <v>4488.8889293529382</v>
      </c>
      <c r="FK48" s="488">
        <v>258</v>
      </c>
      <c r="FL48" s="488">
        <v>0</v>
      </c>
      <c r="FM48" s="488">
        <v>258</v>
      </c>
    </row>
    <row r="49" spans="1:169" s="488" customFormat="1" x14ac:dyDescent="0.2">
      <c r="A49" s="489" t="s">
        <v>31</v>
      </c>
      <c r="B49" s="489" t="s">
        <v>837</v>
      </c>
      <c r="C49" s="489">
        <v>2457</v>
      </c>
      <c r="D49" s="488" t="s">
        <v>169</v>
      </c>
      <c r="E49" s="490"/>
      <c r="F49" s="490"/>
      <c r="G49" s="490"/>
      <c r="H49" s="490"/>
      <c r="I49" s="490"/>
      <c r="J49" s="490"/>
      <c r="K49" s="490"/>
      <c r="L49" s="490"/>
      <c r="M49" s="490"/>
      <c r="N49" s="528">
        <v>343</v>
      </c>
      <c r="O49" s="529">
        <v>534.80560000000003</v>
      </c>
      <c r="P49" s="530">
        <v>881270.973181154</v>
      </c>
      <c r="Q49" s="528">
        <v>0</v>
      </c>
      <c r="R49" s="529">
        <v>0</v>
      </c>
      <c r="S49" s="530">
        <v>0</v>
      </c>
      <c r="T49" s="531">
        <v>0</v>
      </c>
      <c r="U49" s="529">
        <v>0</v>
      </c>
      <c r="V49" s="530">
        <v>0</v>
      </c>
      <c r="W49" s="491"/>
      <c r="X49" s="532">
        <v>0</v>
      </c>
      <c r="Y49" s="530">
        <v>0</v>
      </c>
      <c r="Z49" s="529">
        <v>343</v>
      </c>
      <c r="AA49" s="532">
        <v>534.80560000000003</v>
      </c>
      <c r="AB49" s="530">
        <v>881271</v>
      </c>
      <c r="AC49" s="490"/>
      <c r="AD49" s="490"/>
      <c r="AE49" s="490"/>
      <c r="AF49" s="490"/>
      <c r="AG49" s="490"/>
      <c r="AH49" s="490"/>
      <c r="AI49" s="533"/>
      <c r="AJ49" s="530">
        <v>0</v>
      </c>
      <c r="AK49" s="530">
        <v>0</v>
      </c>
      <c r="AL49" s="530">
        <v>6961.87</v>
      </c>
      <c r="AM49" s="534"/>
      <c r="AN49" s="530">
        <v>0</v>
      </c>
      <c r="AO49" s="535">
        <v>74.5</v>
      </c>
      <c r="AP49" s="530">
        <v>2866.3918372520111</v>
      </c>
      <c r="AQ49" s="536">
        <v>0</v>
      </c>
      <c r="AR49" s="530">
        <v>0</v>
      </c>
      <c r="AS49" s="490"/>
      <c r="AT49" s="536">
        <v>15</v>
      </c>
      <c r="AU49" s="536">
        <v>10</v>
      </c>
      <c r="AV49" s="537">
        <v>12.083333333333334</v>
      </c>
      <c r="AW49" s="538">
        <v>7257.8269816335478</v>
      </c>
      <c r="AX49" s="539"/>
      <c r="AY49" s="535">
        <v>0</v>
      </c>
      <c r="AZ49" s="540"/>
      <c r="BA49" s="499"/>
      <c r="BB49" s="528">
        <v>5</v>
      </c>
      <c r="BC49" s="528">
        <v>3808.6547972304647</v>
      </c>
      <c r="BD49" s="528">
        <v>13</v>
      </c>
      <c r="BE49" s="538">
        <v>4248.1912751213677</v>
      </c>
      <c r="BF49" s="535">
        <v>353</v>
      </c>
      <c r="BG49" s="535">
        <v>42</v>
      </c>
      <c r="BH49" s="535">
        <v>349</v>
      </c>
      <c r="BI49" s="535">
        <v>47</v>
      </c>
      <c r="BJ49" s="536">
        <v>343</v>
      </c>
      <c r="BK49" s="536">
        <v>45</v>
      </c>
      <c r="BL49" s="541">
        <v>348.33</v>
      </c>
      <c r="BM49" s="541">
        <v>44.67</v>
      </c>
      <c r="BN49" s="542">
        <v>12.82</v>
      </c>
      <c r="BO49" s="529">
        <v>43.97</v>
      </c>
      <c r="BP49" s="528">
        <v>64843.236727669755</v>
      </c>
      <c r="BQ49" s="536">
        <v>89</v>
      </c>
      <c r="BR49" s="530">
        <v>17886.46</v>
      </c>
      <c r="BS49" s="536">
        <v>87</v>
      </c>
      <c r="BT49" s="530">
        <v>17581.41763315953</v>
      </c>
      <c r="BU49" s="530">
        <v>237</v>
      </c>
      <c r="BV49" s="530">
        <v>53889.399212942721</v>
      </c>
      <c r="BW49" s="536">
        <v>4</v>
      </c>
      <c r="BX49" s="530">
        <v>3424.4696990104699</v>
      </c>
      <c r="BY49" s="500"/>
      <c r="BZ49" s="282"/>
      <c r="CA49" s="282"/>
      <c r="CB49" s="490"/>
      <c r="CC49" s="490"/>
      <c r="CD49" s="490"/>
      <c r="CE49" s="282"/>
      <c r="CF49" s="490"/>
      <c r="CG49" s="543">
        <v>343</v>
      </c>
      <c r="CH49" s="532" t="e">
        <v>#DIV/0!</v>
      </c>
      <c r="CI49" s="532" t="e">
        <v>#DIV/0!</v>
      </c>
      <c r="CJ49" s="544"/>
      <c r="CK49" s="490"/>
      <c r="CL49" s="545">
        <v>1819.35</v>
      </c>
      <c r="CM49" s="546">
        <v>2</v>
      </c>
      <c r="CN49" s="532">
        <v>3638.7</v>
      </c>
      <c r="CO49" s="530">
        <v>5208.22</v>
      </c>
      <c r="CP49" s="490"/>
      <c r="CQ49" s="490"/>
      <c r="CR49" s="490"/>
      <c r="CS49" s="490"/>
      <c r="CT49" s="490"/>
      <c r="CU49" s="490"/>
      <c r="CV49" s="490"/>
      <c r="CW49" s="490"/>
      <c r="CX49" s="490"/>
      <c r="CY49" s="547"/>
      <c r="CZ49" s="530">
        <v>0</v>
      </c>
      <c r="DA49" s="506">
        <v>19055</v>
      </c>
      <c r="DB49" s="548"/>
      <c r="DC49" s="537">
        <v>0</v>
      </c>
      <c r="DD49" s="530">
        <v>0</v>
      </c>
      <c r="DE49" s="490"/>
      <c r="DF49" s="529">
        <v>1</v>
      </c>
      <c r="DG49" s="549">
        <v>70073.495851086889</v>
      </c>
      <c r="DH49" s="550"/>
      <c r="DI49" s="530">
        <v>0</v>
      </c>
      <c r="DJ49" s="551"/>
      <c r="DK49" s="552"/>
      <c r="DL49" s="282"/>
      <c r="DM49" s="490"/>
      <c r="DN49" s="509"/>
      <c r="DO49" s="553">
        <v>0</v>
      </c>
      <c r="DP49" s="530">
        <v>0</v>
      </c>
      <c r="DQ49" s="282"/>
      <c r="DR49" s="510"/>
      <c r="DS49" s="282"/>
      <c r="DT49" s="541">
        <v>0</v>
      </c>
      <c r="DU49" s="541">
        <v>0</v>
      </c>
      <c r="DV49" s="490"/>
      <c r="DW49" s="490"/>
      <c r="DX49" s="511"/>
      <c r="DY49" s="512">
        <v>0</v>
      </c>
      <c r="DZ49" s="513">
        <v>1158375.6340151066</v>
      </c>
      <c r="EA49" s="513">
        <v>0</v>
      </c>
      <c r="EB49" s="514">
        <v>3504</v>
      </c>
      <c r="EC49" s="514">
        <v>0</v>
      </c>
      <c r="ED49" s="514">
        <v>0</v>
      </c>
      <c r="EE49" s="494"/>
      <c r="EF49" s="513">
        <v>1161879.6340151066</v>
      </c>
      <c r="EG49" s="513">
        <v>1142824.6340151066</v>
      </c>
      <c r="EH49" s="515">
        <v>343</v>
      </c>
      <c r="EI49" s="516">
        <v>14386.761588304074</v>
      </c>
      <c r="EJ49" s="517"/>
      <c r="EL49" s="518"/>
      <c r="EM49" s="518">
        <v>1161879.6340151066</v>
      </c>
      <c r="EN49" s="518">
        <v>0</v>
      </c>
      <c r="EO49" s="518">
        <v>0</v>
      </c>
      <c r="EP49" s="518">
        <v>0</v>
      </c>
      <c r="EQ49" s="518">
        <v>-7257.8269816335478</v>
      </c>
      <c r="ER49" s="518">
        <v>0</v>
      </c>
      <c r="ES49" s="518">
        <v>-3504</v>
      </c>
      <c r="ET49" s="518">
        <v>0</v>
      </c>
      <c r="EU49" s="518">
        <v>0</v>
      </c>
      <c r="EV49" s="518">
        <v>0</v>
      </c>
      <c r="EW49" s="518">
        <v>0</v>
      </c>
      <c r="EX49" s="518">
        <v>0</v>
      </c>
      <c r="EY49" s="518">
        <v>0</v>
      </c>
      <c r="EZ49" s="518">
        <v>1151117.8070334732</v>
      </c>
      <c r="FB49" s="518">
        <v>0</v>
      </c>
      <c r="FC49" s="518">
        <v>-7257.8269816335487</v>
      </c>
      <c r="FF49" s="518">
        <v>1025123.2204368534</v>
      </c>
      <c r="FI49" s="488">
        <v>3365.8415410335474</v>
      </c>
      <c r="FK49" s="488">
        <v>342</v>
      </c>
      <c r="FL49" s="488">
        <v>0</v>
      </c>
      <c r="FM49" s="488">
        <v>342</v>
      </c>
    </row>
    <row r="50" spans="1:169" s="488" customFormat="1" x14ac:dyDescent="0.2">
      <c r="A50" s="489" t="s">
        <v>32</v>
      </c>
      <c r="B50" s="489" t="s">
        <v>838</v>
      </c>
      <c r="C50" s="489">
        <v>2515</v>
      </c>
      <c r="D50" s="488" t="s">
        <v>169</v>
      </c>
      <c r="E50" s="490"/>
      <c r="F50" s="490"/>
      <c r="G50" s="490"/>
      <c r="H50" s="490"/>
      <c r="I50" s="490"/>
      <c r="J50" s="490"/>
      <c r="K50" s="490"/>
      <c r="L50" s="490"/>
      <c r="M50" s="490"/>
      <c r="N50" s="528">
        <v>96</v>
      </c>
      <c r="O50" s="529">
        <v>149.6832</v>
      </c>
      <c r="P50" s="530">
        <v>246653.10036557078</v>
      </c>
      <c r="Q50" s="528">
        <v>60</v>
      </c>
      <c r="R50" s="529">
        <v>89.22</v>
      </c>
      <c r="S50" s="530">
        <v>147019.7698513676</v>
      </c>
      <c r="T50" s="531">
        <v>30</v>
      </c>
      <c r="U50" s="529">
        <v>52.92</v>
      </c>
      <c r="V50" s="530">
        <v>87203.387363084214</v>
      </c>
      <c r="W50" s="491"/>
      <c r="X50" s="532">
        <v>0</v>
      </c>
      <c r="Y50" s="530">
        <v>0</v>
      </c>
      <c r="Z50" s="529">
        <v>186</v>
      </c>
      <c r="AA50" s="532">
        <v>291.82319999999999</v>
      </c>
      <c r="AB50" s="530">
        <v>480876</v>
      </c>
      <c r="AC50" s="490"/>
      <c r="AD50" s="490"/>
      <c r="AE50" s="490"/>
      <c r="AF50" s="490"/>
      <c r="AG50" s="490"/>
      <c r="AH50" s="490"/>
      <c r="AI50" s="533"/>
      <c r="AJ50" s="530">
        <v>0</v>
      </c>
      <c r="AK50" s="530">
        <v>0</v>
      </c>
      <c r="AL50" s="530">
        <v>3775.24</v>
      </c>
      <c r="AM50" s="534"/>
      <c r="AN50" s="530">
        <v>0</v>
      </c>
      <c r="AO50" s="535">
        <v>42.2</v>
      </c>
      <c r="AP50" s="530">
        <v>1623.6474568058372</v>
      </c>
      <c r="AQ50" s="536">
        <v>1</v>
      </c>
      <c r="AR50" s="530">
        <v>11340.305565018814</v>
      </c>
      <c r="AS50" s="490"/>
      <c r="AT50" s="536">
        <v>70</v>
      </c>
      <c r="AU50" s="536">
        <v>32.5</v>
      </c>
      <c r="AV50" s="537">
        <v>48.125</v>
      </c>
      <c r="AW50" s="538">
        <v>28906.172978574989</v>
      </c>
      <c r="AX50" s="539"/>
      <c r="AY50" s="535">
        <v>0</v>
      </c>
      <c r="AZ50" s="540"/>
      <c r="BA50" s="499"/>
      <c r="BB50" s="528">
        <v>12</v>
      </c>
      <c r="BC50" s="528">
        <v>9140.7715133531146</v>
      </c>
      <c r="BD50" s="528">
        <v>14</v>
      </c>
      <c r="BE50" s="538">
        <v>4574.9752193614731</v>
      </c>
      <c r="BF50" s="535">
        <v>177</v>
      </c>
      <c r="BG50" s="535">
        <v>84</v>
      </c>
      <c r="BH50" s="535">
        <v>179</v>
      </c>
      <c r="BI50" s="535">
        <v>72</v>
      </c>
      <c r="BJ50" s="536">
        <v>186</v>
      </c>
      <c r="BK50" s="536">
        <v>77</v>
      </c>
      <c r="BL50" s="541">
        <v>180.67</v>
      </c>
      <c r="BM50" s="541">
        <v>77.67</v>
      </c>
      <c r="BN50" s="542">
        <v>42.99</v>
      </c>
      <c r="BO50" s="529">
        <v>79.959999999999994</v>
      </c>
      <c r="BP50" s="528">
        <v>117918.24445632189</v>
      </c>
      <c r="BQ50" s="536">
        <v>44</v>
      </c>
      <c r="BR50" s="530">
        <v>8842.74</v>
      </c>
      <c r="BS50" s="536">
        <v>30</v>
      </c>
      <c r="BT50" s="530">
        <v>6062.5578045377697</v>
      </c>
      <c r="BU50" s="530">
        <v>498</v>
      </c>
      <c r="BV50" s="530">
        <v>113235.95277656318</v>
      </c>
      <c r="BW50" s="536">
        <v>6</v>
      </c>
      <c r="BX50" s="530">
        <v>5136.704548515705</v>
      </c>
      <c r="BY50" s="500"/>
      <c r="BZ50" s="282"/>
      <c r="CA50" s="282"/>
      <c r="CB50" s="490"/>
      <c r="CC50" s="490"/>
      <c r="CD50" s="490"/>
      <c r="CE50" s="282"/>
      <c r="CF50" s="490"/>
      <c r="CG50" s="543">
        <v>186</v>
      </c>
      <c r="CH50" s="532" t="e">
        <v>#DIV/0!</v>
      </c>
      <c r="CI50" s="532" t="e">
        <v>#DIV/0!</v>
      </c>
      <c r="CJ50" s="544"/>
      <c r="CK50" s="490"/>
      <c r="CL50" s="545">
        <v>1052.3797681770284</v>
      </c>
      <c r="CM50" s="546">
        <v>2</v>
      </c>
      <c r="CN50" s="532">
        <v>2104.7595363540568</v>
      </c>
      <c r="CO50" s="530">
        <v>3012.63</v>
      </c>
      <c r="CP50" s="490"/>
      <c r="CQ50" s="490"/>
      <c r="CR50" s="490"/>
      <c r="CS50" s="490"/>
      <c r="CT50" s="490"/>
      <c r="CU50" s="490"/>
      <c r="CV50" s="490"/>
      <c r="CW50" s="490"/>
      <c r="CX50" s="490"/>
      <c r="CY50" s="547"/>
      <c r="CZ50" s="530">
        <v>0</v>
      </c>
      <c r="DA50" s="506">
        <v>16488</v>
      </c>
      <c r="DB50" s="548"/>
      <c r="DC50" s="537">
        <v>0</v>
      </c>
      <c r="DD50" s="530">
        <v>0</v>
      </c>
      <c r="DE50" s="490"/>
      <c r="DF50" s="529">
        <v>1</v>
      </c>
      <c r="DG50" s="549">
        <v>70073.495851086889</v>
      </c>
      <c r="DH50" s="550"/>
      <c r="DI50" s="530">
        <v>0</v>
      </c>
      <c r="DJ50" s="551"/>
      <c r="DK50" s="552"/>
      <c r="DL50" s="282"/>
      <c r="DM50" s="490"/>
      <c r="DN50" s="509"/>
      <c r="DO50" s="553">
        <v>0</v>
      </c>
      <c r="DP50" s="530">
        <v>0</v>
      </c>
      <c r="DQ50" s="282"/>
      <c r="DR50" s="510"/>
      <c r="DS50" s="282"/>
      <c r="DT50" s="541">
        <v>0</v>
      </c>
      <c r="DU50" s="541">
        <v>0</v>
      </c>
      <c r="DV50" s="490"/>
      <c r="DW50" s="490"/>
      <c r="DX50" s="511">
        <v>92095.941800000001</v>
      </c>
      <c r="DY50" s="512">
        <v>0</v>
      </c>
      <c r="DZ50" s="513">
        <v>973103.37997013971</v>
      </c>
      <c r="EA50" s="513">
        <v>78179.805381990387</v>
      </c>
      <c r="EB50" s="514">
        <v>18709</v>
      </c>
      <c r="EC50" s="514">
        <v>0</v>
      </c>
      <c r="ED50" s="514">
        <v>-7584.9822539198067</v>
      </c>
      <c r="EE50" s="494"/>
      <c r="EF50" s="513">
        <v>1062407.2030982103</v>
      </c>
      <c r="EG50" s="513">
        <v>1045919.2030982103</v>
      </c>
      <c r="EH50" s="515">
        <v>186</v>
      </c>
      <c r="EI50" s="516">
        <v>7801.5675085264074</v>
      </c>
      <c r="EJ50" s="517"/>
      <c r="EL50" s="518"/>
      <c r="EM50" s="518">
        <v>1062407.2030982103</v>
      </c>
      <c r="EN50" s="518">
        <v>-92095.941800000001</v>
      </c>
      <c r="EO50" s="518">
        <v>7584.9822539198067</v>
      </c>
      <c r="EP50" s="518">
        <v>-8861.8686516090238</v>
      </c>
      <c r="EQ50" s="518">
        <v>-28906.172978574989</v>
      </c>
      <c r="ER50" s="518">
        <v>0</v>
      </c>
      <c r="ES50" s="518">
        <v>-18709</v>
      </c>
      <c r="ET50" s="518">
        <v>0</v>
      </c>
      <c r="EU50" s="518">
        <v>0</v>
      </c>
      <c r="EV50" s="518">
        <v>0</v>
      </c>
      <c r="EW50" s="518">
        <v>0</v>
      </c>
      <c r="EX50" s="518">
        <v>-11340.305565018814</v>
      </c>
      <c r="EY50" s="518">
        <v>0</v>
      </c>
      <c r="EZ50" s="518">
        <v>910078.89635692723</v>
      </c>
      <c r="FB50" s="518">
        <v>93372.828197689218</v>
      </c>
      <c r="FC50" s="518">
        <v>-28906.172978574992</v>
      </c>
      <c r="FF50" s="518">
        <v>735150.41329475387</v>
      </c>
      <c r="FI50" s="488">
        <v>4892.8972922415442</v>
      </c>
      <c r="FK50" s="488">
        <v>186</v>
      </c>
      <c r="FL50" s="488">
        <v>0</v>
      </c>
      <c r="FM50" s="488">
        <v>186</v>
      </c>
    </row>
    <row r="51" spans="1:169" s="488" customFormat="1" x14ac:dyDescent="0.2">
      <c r="A51" s="489" t="s">
        <v>33</v>
      </c>
      <c r="B51" s="489" t="s">
        <v>839</v>
      </c>
      <c r="C51" s="489">
        <v>2002</v>
      </c>
      <c r="D51" s="488" t="s">
        <v>169</v>
      </c>
      <c r="E51" s="490"/>
      <c r="F51" s="490"/>
      <c r="G51" s="490"/>
      <c r="H51" s="490"/>
      <c r="I51" s="490"/>
      <c r="J51" s="490"/>
      <c r="K51" s="490"/>
      <c r="L51" s="490"/>
      <c r="M51" s="490"/>
      <c r="N51" s="528">
        <v>242</v>
      </c>
      <c r="O51" s="529">
        <v>377.32639999999998</v>
      </c>
      <c r="P51" s="530">
        <v>621771.35717154294</v>
      </c>
      <c r="Q51" s="528">
        <v>120</v>
      </c>
      <c r="R51" s="529">
        <v>178.44</v>
      </c>
      <c r="S51" s="530">
        <v>294039.5397027352</v>
      </c>
      <c r="T51" s="531">
        <v>60</v>
      </c>
      <c r="U51" s="529">
        <v>105.84</v>
      </c>
      <c r="V51" s="530">
        <v>174406.77472616843</v>
      </c>
      <c r="W51" s="491"/>
      <c r="X51" s="532">
        <v>0</v>
      </c>
      <c r="Y51" s="530">
        <v>0</v>
      </c>
      <c r="Z51" s="529">
        <v>422</v>
      </c>
      <c r="AA51" s="532">
        <v>661.60639999999989</v>
      </c>
      <c r="AB51" s="530">
        <v>1090218</v>
      </c>
      <c r="AC51" s="490"/>
      <c r="AD51" s="490"/>
      <c r="AE51" s="490"/>
      <c r="AF51" s="490"/>
      <c r="AG51" s="490"/>
      <c r="AH51" s="490"/>
      <c r="AI51" s="533"/>
      <c r="AJ51" s="530">
        <v>0</v>
      </c>
      <c r="AK51" s="530">
        <v>0</v>
      </c>
      <c r="AL51" s="530">
        <v>8565.33</v>
      </c>
      <c r="AM51" s="534"/>
      <c r="AN51" s="530">
        <v>0</v>
      </c>
      <c r="AO51" s="535">
        <v>139.13333333333333</v>
      </c>
      <c r="AP51" s="530">
        <v>5353.1631000849638</v>
      </c>
      <c r="AQ51" s="536">
        <v>2</v>
      </c>
      <c r="AR51" s="530">
        <v>22680.611130037629</v>
      </c>
      <c r="AS51" s="490"/>
      <c r="AT51" s="536">
        <v>72.5</v>
      </c>
      <c r="AU51" s="536">
        <v>57.5</v>
      </c>
      <c r="AV51" s="537">
        <v>63.75</v>
      </c>
      <c r="AW51" s="538">
        <v>38291.294075514917</v>
      </c>
      <c r="AX51" s="539">
        <v>45</v>
      </c>
      <c r="AY51" s="535">
        <v>27029.148759187003</v>
      </c>
      <c r="AZ51" s="540"/>
      <c r="BA51" s="499"/>
      <c r="BB51" s="528">
        <v>5</v>
      </c>
      <c r="BC51" s="528">
        <v>3808.6547972304647</v>
      </c>
      <c r="BD51" s="528">
        <v>8</v>
      </c>
      <c r="BE51" s="538">
        <v>2614.2715539208416</v>
      </c>
      <c r="BF51" s="535">
        <v>426</v>
      </c>
      <c r="BG51" s="535">
        <v>30</v>
      </c>
      <c r="BH51" s="535">
        <v>423</v>
      </c>
      <c r="BI51" s="535">
        <v>30</v>
      </c>
      <c r="BJ51" s="536">
        <v>422</v>
      </c>
      <c r="BK51" s="536">
        <v>33</v>
      </c>
      <c r="BL51" s="541">
        <v>423.67</v>
      </c>
      <c r="BM51" s="541">
        <v>31</v>
      </c>
      <c r="BN51" s="542">
        <v>7.32</v>
      </c>
      <c r="BO51" s="529">
        <v>30.89</v>
      </c>
      <c r="BP51" s="528">
        <v>45553.959120257423</v>
      </c>
      <c r="BQ51" s="536">
        <v>14</v>
      </c>
      <c r="BR51" s="530">
        <v>2813.6</v>
      </c>
      <c r="BS51" s="536">
        <v>52</v>
      </c>
      <c r="BT51" s="530">
        <v>10508.433527865467</v>
      </c>
      <c r="BU51" s="530">
        <v>19</v>
      </c>
      <c r="BV51" s="530">
        <v>4320.2471942865468</v>
      </c>
      <c r="BW51" s="536">
        <v>5</v>
      </c>
      <c r="BX51" s="530">
        <v>4280.5871237630872</v>
      </c>
      <c r="BY51" s="500"/>
      <c r="BZ51" s="282"/>
      <c r="CA51" s="282"/>
      <c r="CB51" s="490"/>
      <c r="CC51" s="490"/>
      <c r="CD51" s="490"/>
      <c r="CE51" s="282"/>
      <c r="CF51" s="490"/>
      <c r="CG51" s="543">
        <v>422</v>
      </c>
      <c r="CH51" s="532" t="e">
        <v>#DIV/0!</v>
      </c>
      <c r="CI51" s="532" t="e">
        <v>#DIV/0!</v>
      </c>
      <c r="CJ51" s="544"/>
      <c r="CK51" s="490"/>
      <c r="CL51" s="545">
        <v>2030.3159903978371</v>
      </c>
      <c r="CM51" s="546">
        <v>1</v>
      </c>
      <c r="CN51" s="532">
        <v>2030.3159903978371</v>
      </c>
      <c r="CO51" s="530">
        <v>2906.08</v>
      </c>
      <c r="CP51" s="490"/>
      <c r="CQ51" s="490"/>
      <c r="CR51" s="490"/>
      <c r="CS51" s="490"/>
      <c r="CT51" s="490"/>
      <c r="CU51" s="490"/>
      <c r="CV51" s="490"/>
      <c r="CW51" s="490"/>
      <c r="CX51" s="490"/>
      <c r="CY51" s="547"/>
      <c r="CZ51" s="530">
        <v>0</v>
      </c>
      <c r="DA51" s="506">
        <v>42365</v>
      </c>
      <c r="DB51" s="548"/>
      <c r="DC51" s="537">
        <v>0</v>
      </c>
      <c r="DD51" s="530">
        <v>0</v>
      </c>
      <c r="DE51" s="490"/>
      <c r="DF51" s="529">
        <v>1</v>
      </c>
      <c r="DG51" s="549">
        <v>70073.495851086889</v>
      </c>
      <c r="DH51" s="550"/>
      <c r="DI51" s="530">
        <v>0</v>
      </c>
      <c r="DJ51" s="551"/>
      <c r="DK51" s="552"/>
      <c r="DL51" s="282"/>
      <c r="DM51" s="490"/>
      <c r="DN51" s="509"/>
      <c r="DO51" s="553">
        <v>0</v>
      </c>
      <c r="DP51" s="530">
        <v>0</v>
      </c>
      <c r="DQ51" s="282"/>
      <c r="DR51" s="510"/>
      <c r="DS51" s="282"/>
      <c r="DT51" s="541">
        <v>0</v>
      </c>
      <c r="DU51" s="541">
        <v>0</v>
      </c>
      <c r="DV51" s="490"/>
      <c r="DW51" s="490"/>
      <c r="DX51" s="511">
        <v>99190.312000000005</v>
      </c>
      <c r="DY51" s="512">
        <v>0</v>
      </c>
      <c r="DZ51" s="513">
        <v>1480572.1882332352</v>
      </c>
      <c r="EA51" s="513">
        <v>0</v>
      </c>
      <c r="EB51" s="514">
        <v>8885</v>
      </c>
      <c r="EC51" s="514">
        <v>0</v>
      </c>
      <c r="ED51" s="514">
        <v>10213.682199999996</v>
      </c>
      <c r="EE51" s="494"/>
      <c r="EF51" s="513">
        <v>1499670.8704332351</v>
      </c>
      <c r="EG51" s="513">
        <v>1457305.8704332351</v>
      </c>
      <c r="EH51" s="515">
        <v>422</v>
      </c>
      <c r="EI51" s="516">
        <v>17700.330583860989</v>
      </c>
      <c r="EJ51" s="517"/>
      <c r="EL51" s="518"/>
      <c r="EM51" s="518">
        <v>1499670.8704332351</v>
      </c>
      <c r="EN51" s="518">
        <v>-99190.312000000005</v>
      </c>
      <c r="EO51" s="518">
        <v>-10213.682199999996</v>
      </c>
      <c r="EP51" s="518">
        <v>0</v>
      </c>
      <c r="EQ51" s="518">
        <v>-38291.294075514917</v>
      </c>
      <c r="ER51" s="518">
        <v>-27029.148759187003</v>
      </c>
      <c r="ES51" s="518">
        <v>-8885</v>
      </c>
      <c r="ET51" s="518">
        <v>0</v>
      </c>
      <c r="EU51" s="518">
        <v>0</v>
      </c>
      <c r="EV51" s="518">
        <v>0</v>
      </c>
      <c r="EW51" s="518">
        <v>0</v>
      </c>
      <c r="EX51" s="518">
        <v>-22680.611130037629</v>
      </c>
      <c r="EY51" s="518">
        <v>0</v>
      </c>
      <c r="EZ51" s="518">
        <v>1293380.8222684958</v>
      </c>
      <c r="FB51" s="518">
        <v>109403.9942</v>
      </c>
      <c r="FC51" s="518">
        <v>-65320.442834701913</v>
      </c>
      <c r="FF51" s="518">
        <v>1150995.0482355375</v>
      </c>
      <c r="FI51" s="488">
        <v>3057.6378777032996</v>
      </c>
      <c r="FK51" s="488">
        <v>423</v>
      </c>
      <c r="FL51" s="488">
        <v>0</v>
      </c>
      <c r="FM51" s="488">
        <v>423</v>
      </c>
    </row>
    <row r="52" spans="1:169" s="488" customFormat="1" x14ac:dyDescent="0.2">
      <c r="A52" s="489" t="s">
        <v>34</v>
      </c>
      <c r="B52" s="489" t="s">
        <v>840</v>
      </c>
      <c r="C52" s="489">
        <v>3544</v>
      </c>
      <c r="D52" s="488" t="s">
        <v>169</v>
      </c>
      <c r="E52" s="490"/>
      <c r="F52" s="490"/>
      <c r="G52" s="490"/>
      <c r="H52" s="490"/>
      <c r="I52" s="490"/>
      <c r="J52" s="490"/>
      <c r="K52" s="490"/>
      <c r="L52" s="490"/>
      <c r="M52" s="490"/>
      <c r="N52" s="528">
        <v>352</v>
      </c>
      <c r="O52" s="529">
        <v>548.83839999999998</v>
      </c>
      <c r="P52" s="530">
        <v>904394.70134042623</v>
      </c>
      <c r="Q52" s="528">
        <v>120</v>
      </c>
      <c r="R52" s="529">
        <v>178.44</v>
      </c>
      <c r="S52" s="530">
        <v>294039.5397027352</v>
      </c>
      <c r="T52" s="531">
        <v>60</v>
      </c>
      <c r="U52" s="529">
        <v>105.84</v>
      </c>
      <c r="V52" s="530">
        <v>174406.77472616843</v>
      </c>
      <c r="W52" s="491"/>
      <c r="X52" s="532">
        <v>0</v>
      </c>
      <c r="Y52" s="530">
        <v>0</v>
      </c>
      <c r="Z52" s="529">
        <v>532</v>
      </c>
      <c r="AA52" s="532">
        <v>833.11839999999995</v>
      </c>
      <c r="AB52" s="530">
        <v>1372841</v>
      </c>
      <c r="AC52" s="490"/>
      <c r="AD52" s="490"/>
      <c r="AE52" s="490"/>
      <c r="AF52" s="490"/>
      <c r="AG52" s="490"/>
      <c r="AH52" s="490"/>
      <c r="AI52" s="533"/>
      <c r="AJ52" s="530">
        <v>0</v>
      </c>
      <c r="AK52" s="530">
        <v>0</v>
      </c>
      <c r="AL52" s="530">
        <v>10798</v>
      </c>
      <c r="AM52" s="534"/>
      <c r="AN52" s="530">
        <v>0</v>
      </c>
      <c r="AO52" s="535">
        <v>144.35</v>
      </c>
      <c r="AP52" s="530">
        <v>5553.874653789635</v>
      </c>
      <c r="AQ52" s="536">
        <v>2</v>
      </c>
      <c r="AR52" s="530">
        <v>22680.611130037629</v>
      </c>
      <c r="AS52" s="490"/>
      <c r="AT52" s="536">
        <v>30</v>
      </c>
      <c r="AU52" s="536">
        <v>10</v>
      </c>
      <c r="AV52" s="537">
        <v>18.333333333333332</v>
      </c>
      <c r="AW52" s="538">
        <v>11011.875420409518</v>
      </c>
      <c r="AX52" s="539"/>
      <c r="AY52" s="535">
        <v>0</v>
      </c>
      <c r="AZ52" s="540"/>
      <c r="BA52" s="499"/>
      <c r="BB52" s="528">
        <v>49</v>
      </c>
      <c r="BC52" s="528">
        <v>37324.817012858555</v>
      </c>
      <c r="BD52" s="528">
        <v>45</v>
      </c>
      <c r="BE52" s="538">
        <v>14705.277490804734</v>
      </c>
      <c r="BF52" s="535">
        <v>522</v>
      </c>
      <c r="BG52" s="535">
        <v>138</v>
      </c>
      <c r="BH52" s="535">
        <v>527</v>
      </c>
      <c r="BI52" s="535">
        <v>121</v>
      </c>
      <c r="BJ52" s="536">
        <v>532</v>
      </c>
      <c r="BK52" s="536">
        <v>143</v>
      </c>
      <c r="BL52" s="541">
        <v>527</v>
      </c>
      <c r="BM52" s="541">
        <v>134</v>
      </c>
      <c r="BN52" s="542">
        <v>25.43</v>
      </c>
      <c r="BO52" s="529">
        <v>135.29</v>
      </c>
      <c r="BP52" s="528">
        <v>199514.24828033752</v>
      </c>
      <c r="BQ52" s="536">
        <v>481</v>
      </c>
      <c r="BR52" s="530">
        <v>96667.25</v>
      </c>
      <c r="BS52" s="536">
        <v>441</v>
      </c>
      <c r="BT52" s="530">
        <v>89119.599726705215</v>
      </c>
      <c r="BU52" s="530">
        <v>1539</v>
      </c>
      <c r="BV52" s="530">
        <v>349940.02273721033</v>
      </c>
      <c r="BW52" s="536">
        <v>12</v>
      </c>
      <c r="BX52" s="530">
        <v>10273.40909703141</v>
      </c>
      <c r="BY52" s="500"/>
      <c r="BZ52" s="282"/>
      <c r="CA52" s="282"/>
      <c r="CB52" s="490"/>
      <c r="CC52" s="490"/>
      <c r="CD52" s="490"/>
      <c r="CE52" s="282"/>
      <c r="CF52" s="490"/>
      <c r="CG52" s="543">
        <v>532</v>
      </c>
      <c r="CH52" s="532" t="e">
        <v>#DIV/0!</v>
      </c>
      <c r="CI52" s="532" t="e">
        <v>#DIV/0!</v>
      </c>
      <c r="CJ52" s="544"/>
      <c r="CK52" s="490"/>
      <c r="CL52" s="545">
        <v>2815.1980198019801</v>
      </c>
      <c r="CM52" s="546">
        <v>1</v>
      </c>
      <c r="CN52" s="532">
        <v>2815.1980198019801</v>
      </c>
      <c r="CO52" s="530">
        <v>4029.51</v>
      </c>
      <c r="CP52" s="490"/>
      <c r="CQ52" s="490"/>
      <c r="CR52" s="490"/>
      <c r="CS52" s="490"/>
      <c r="CT52" s="490"/>
      <c r="CU52" s="490"/>
      <c r="CV52" s="490"/>
      <c r="CW52" s="490"/>
      <c r="CX52" s="490"/>
      <c r="CY52" s="547"/>
      <c r="CZ52" s="530">
        <v>0</v>
      </c>
      <c r="DA52" s="506">
        <v>67784</v>
      </c>
      <c r="DB52" s="548"/>
      <c r="DC52" s="537">
        <v>0</v>
      </c>
      <c r="DD52" s="530">
        <v>0</v>
      </c>
      <c r="DE52" s="490"/>
      <c r="DF52" s="529">
        <v>1</v>
      </c>
      <c r="DG52" s="549">
        <v>70073.495851086889</v>
      </c>
      <c r="DH52" s="550"/>
      <c r="DI52" s="530">
        <v>0</v>
      </c>
      <c r="DJ52" s="551"/>
      <c r="DK52" s="552"/>
      <c r="DL52" s="560">
        <v>119337.89101997581</v>
      </c>
      <c r="DM52" s="490"/>
      <c r="DN52" s="561">
        <v>20229.898887368596</v>
      </c>
      <c r="DO52" s="553">
        <v>0</v>
      </c>
      <c r="DP52" s="530">
        <v>0</v>
      </c>
      <c r="DQ52" s="282"/>
      <c r="DR52" s="510"/>
      <c r="DS52" s="282"/>
      <c r="DT52" s="541">
        <v>0</v>
      </c>
      <c r="DU52" s="541">
        <v>0</v>
      </c>
      <c r="DV52" s="490"/>
      <c r="DW52" s="490"/>
      <c r="DX52" s="511">
        <v>138837.6018</v>
      </c>
      <c r="DY52" s="512">
        <v>0</v>
      </c>
      <c r="DZ52" s="513">
        <v>2640722.3831076152</v>
      </c>
      <c r="EA52" s="513">
        <v>0</v>
      </c>
      <c r="EB52" s="514">
        <v>10137</v>
      </c>
      <c r="EC52" s="514">
        <v>0</v>
      </c>
      <c r="ED52" s="514">
        <v>-15115.216699908138</v>
      </c>
      <c r="EE52" s="494"/>
      <c r="EF52" s="513">
        <v>2635744.1664077071</v>
      </c>
      <c r="EG52" s="513">
        <v>2567960.1664077071</v>
      </c>
      <c r="EH52" s="515">
        <v>532</v>
      </c>
      <c r="EI52" s="516">
        <v>22314.160830838973</v>
      </c>
      <c r="EJ52" s="517"/>
      <c r="EL52" s="518"/>
      <c r="EM52" s="518">
        <v>2635744.1664077071</v>
      </c>
      <c r="EN52" s="518">
        <v>-138837.6018</v>
      </c>
      <c r="EO52" s="518">
        <v>15115.216699908138</v>
      </c>
      <c r="EP52" s="518">
        <v>0</v>
      </c>
      <c r="EQ52" s="518">
        <v>-11011.875420409518</v>
      </c>
      <c r="ER52" s="518">
        <v>0</v>
      </c>
      <c r="ES52" s="518">
        <v>-10137</v>
      </c>
      <c r="ET52" s="518">
        <v>0</v>
      </c>
      <c r="EU52" s="518">
        <v>0</v>
      </c>
      <c r="EV52" s="518">
        <v>0</v>
      </c>
      <c r="EW52" s="518">
        <v>0</v>
      </c>
      <c r="EX52" s="518">
        <v>-22680.611130037629</v>
      </c>
      <c r="EY52" s="518">
        <v>0</v>
      </c>
      <c r="EZ52" s="518">
        <v>2468192.2947571678</v>
      </c>
      <c r="FB52" s="518">
        <v>123722.38510009187</v>
      </c>
      <c r="FC52" s="518">
        <v>-11011.875420409517</v>
      </c>
      <c r="FF52" s="518">
        <v>2066560.747127438</v>
      </c>
      <c r="FI52" s="488">
        <v>4746.5236437637841</v>
      </c>
      <c r="FK52" s="488">
        <v>520</v>
      </c>
      <c r="FL52" s="488">
        <v>0</v>
      </c>
      <c r="FM52" s="488">
        <v>520</v>
      </c>
    </row>
    <row r="53" spans="1:169" s="488" customFormat="1" x14ac:dyDescent="0.2">
      <c r="A53" s="489" t="s">
        <v>314</v>
      </c>
      <c r="B53" s="489" t="s">
        <v>841</v>
      </c>
      <c r="C53" s="489">
        <v>2006</v>
      </c>
      <c r="D53" s="488" t="s">
        <v>169</v>
      </c>
      <c r="E53" s="490"/>
      <c r="F53" s="490"/>
      <c r="G53" s="490"/>
      <c r="H53" s="490"/>
      <c r="I53" s="490"/>
      <c r="J53" s="490"/>
      <c r="K53" s="490"/>
      <c r="L53" s="490"/>
      <c r="M53" s="490"/>
      <c r="N53" s="528">
        <v>129</v>
      </c>
      <c r="O53" s="529">
        <v>201.13679999999999</v>
      </c>
      <c r="P53" s="530">
        <v>331440.10361623572</v>
      </c>
      <c r="Q53" s="528">
        <v>60</v>
      </c>
      <c r="R53" s="529">
        <v>89.22</v>
      </c>
      <c r="S53" s="530">
        <v>147019.7698513676</v>
      </c>
      <c r="T53" s="531">
        <v>31</v>
      </c>
      <c r="U53" s="529">
        <v>54.683999999999997</v>
      </c>
      <c r="V53" s="530">
        <v>90110.166941853677</v>
      </c>
      <c r="W53" s="491"/>
      <c r="X53" s="532">
        <v>0</v>
      </c>
      <c r="Y53" s="530">
        <v>0</v>
      </c>
      <c r="Z53" s="529">
        <v>220</v>
      </c>
      <c r="AA53" s="532">
        <v>345.04079999999999</v>
      </c>
      <c r="AB53" s="530">
        <v>568571</v>
      </c>
      <c r="AC53" s="490"/>
      <c r="AD53" s="490"/>
      <c r="AE53" s="490"/>
      <c r="AF53" s="490"/>
      <c r="AG53" s="490"/>
      <c r="AH53" s="490"/>
      <c r="AI53" s="533"/>
      <c r="AJ53" s="530">
        <v>0</v>
      </c>
      <c r="AK53" s="530">
        <v>0</v>
      </c>
      <c r="AL53" s="530">
        <v>4465.34</v>
      </c>
      <c r="AM53" s="534"/>
      <c r="AN53" s="530">
        <v>0</v>
      </c>
      <c r="AO53" s="535">
        <v>93.8</v>
      </c>
      <c r="AP53" s="530">
        <v>3608.960460862264</v>
      </c>
      <c r="AQ53" s="536">
        <v>1</v>
      </c>
      <c r="AR53" s="530">
        <v>11340.305565018814</v>
      </c>
      <c r="AS53" s="490"/>
      <c r="AT53" s="536">
        <v>10</v>
      </c>
      <c r="AU53" s="536">
        <v>17.5</v>
      </c>
      <c r="AV53" s="537">
        <v>14.375</v>
      </c>
      <c r="AW53" s="538">
        <v>8634.3114091847365</v>
      </c>
      <c r="AX53" s="539"/>
      <c r="AY53" s="535">
        <v>0</v>
      </c>
      <c r="AZ53" s="540"/>
      <c r="BA53" s="499"/>
      <c r="BB53" s="528">
        <v>6</v>
      </c>
      <c r="BC53" s="528">
        <v>4570.3857566765573</v>
      </c>
      <c r="BD53" s="528">
        <v>9</v>
      </c>
      <c r="BE53" s="538">
        <v>2941.0554981609466</v>
      </c>
      <c r="BF53" s="535">
        <v>217</v>
      </c>
      <c r="BG53" s="535">
        <v>12</v>
      </c>
      <c r="BH53" s="535">
        <v>212</v>
      </c>
      <c r="BI53" s="535">
        <v>13</v>
      </c>
      <c r="BJ53" s="536">
        <v>220</v>
      </c>
      <c r="BK53" s="536">
        <v>9</v>
      </c>
      <c r="BL53" s="541">
        <v>216.33</v>
      </c>
      <c r="BM53" s="541">
        <v>11.33</v>
      </c>
      <c r="BN53" s="542">
        <v>5.24</v>
      </c>
      <c r="BO53" s="529">
        <v>11.53</v>
      </c>
      <c r="BP53" s="528">
        <v>17003.468716625706</v>
      </c>
      <c r="BQ53" s="536">
        <v>17</v>
      </c>
      <c r="BR53" s="530">
        <v>3416.51</v>
      </c>
      <c r="BS53" s="536">
        <v>5</v>
      </c>
      <c r="BT53" s="530">
        <v>1010.4263007562949</v>
      </c>
      <c r="BU53" s="530">
        <v>39</v>
      </c>
      <c r="BV53" s="530">
        <v>8867.8758198513333</v>
      </c>
      <c r="BW53" s="536">
        <v>5</v>
      </c>
      <c r="BX53" s="530">
        <v>4280.5871237630872</v>
      </c>
      <c r="BY53" s="500"/>
      <c r="BZ53" s="282"/>
      <c r="CA53" s="282"/>
      <c r="CB53" s="490"/>
      <c r="CC53" s="490"/>
      <c r="CD53" s="490"/>
      <c r="CE53" s="282"/>
      <c r="CF53" s="490"/>
      <c r="CG53" s="543">
        <v>220</v>
      </c>
      <c r="CH53" s="532" t="e">
        <v>#DIV/0!</v>
      </c>
      <c r="CI53" s="532" t="e">
        <v>#DIV/0!</v>
      </c>
      <c r="CJ53" s="544"/>
      <c r="CK53" s="490"/>
      <c r="CL53" s="545">
        <v>1271.3523528016804</v>
      </c>
      <c r="CM53" s="546">
        <v>1</v>
      </c>
      <c r="CN53" s="532">
        <v>1271.3523528016804</v>
      </c>
      <c r="CO53" s="530">
        <v>1819.74</v>
      </c>
      <c r="CP53" s="490"/>
      <c r="CQ53" s="490"/>
      <c r="CR53" s="490"/>
      <c r="CS53" s="490"/>
      <c r="CT53" s="490"/>
      <c r="CU53" s="490"/>
      <c r="CV53" s="490"/>
      <c r="CW53" s="490"/>
      <c r="CX53" s="490"/>
      <c r="CY53" s="547"/>
      <c r="CZ53" s="530">
        <v>0</v>
      </c>
      <c r="DA53" s="506">
        <v>26793</v>
      </c>
      <c r="DB53" s="548"/>
      <c r="DC53" s="537">
        <v>0</v>
      </c>
      <c r="DD53" s="530">
        <v>0</v>
      </c>
      <c r="DE53" s="490"/>
      <c r="DF53" s="529">
        <v>1</v>
      </c>
      <c r="DG53" s="549">
        <v>70073.495851086889</v>
      </c>
      <c r="DH53" s="550"/>
      <c r="DI53" s="530">
        <v>0</v>
      </c>
      <c r="DJ53" s="551"/>
      <c r="DK53" s="552"/>
      <c r="DL53" s="282"/>
      <c r="DM53" s="490"/>
      <c r="DN53" s="509"/>
      <c r="DO53" s="553">
        <v>0</v>
      </c>
      <c r="DP53" s="530">
        <v>0</v>
      </c>
      <c r="DQ53" s="282"/>
      <c r="DR53" s="510"/>
      <c r="DS53" s="282"/>
      <c r="DT53" s="541">
        <v>0</v>
      </c>
      <c r="DU53" s="541">
        <v>0</v>
      </c>
      <c r="DV53" s="490"/>
      <c r="DW53" s="490"/>
      <c r="DX53" s="511">
        <v>95487.26</v>
      </c>
      <c r="DY53" s="512">
        <v>0</v>
      </c>
      <c r="DZ53" s="513">
        <v>832883.72250198654</v>
      </c>
      <c r="EA53" s="513">
        <v>37617.409550808487</v>
      </c>
      <c r="EB53" s="514">
        <v>0</v>
      </c>
      <c r="EC53" s="514">
        <v>0</v>
      </c>
      <c r="ED53" s="514">
        <v>2490.4785858862451</v>
      </c>
      <c r="EE53" s="494"/>
      <c r="EF53" s="513">
        <v>872991.61063868133</v>
      </c>
      <c r="EG53" s="513">
        <v>846198.61063868133</v>
      </c>
      <c r="EH53" s="515">
        <v>220</v>
      </c>
      <c r="EI53" s="516">
        <v>9227.6604939559656</v>
      </c>
      <c r="EJ53" s="517"/>
      <c r="EL53" s="518"/>
      <c r="EM53" s="518">
        <v>872991.61063868133</v>
      </c>
      <c r="EN53" s="518">
        <v>-95487.26</v>
      </c>
      <c r="EO53" s="518">
        <v>-2490.4785858862451</v>
      </c>
      <c r="EP53" s="518">
        <v>-4324.0013078763222</v>
      </c>
      <c r="EQ53" s="518">
        <v>-8634.3114091847365</v>
      </c>
      <c r="ER53" s="518">
        <v>0</v>
      </c>
      <c r="ES53" s="518">
        <v>0</v>
      </c>
      <c r="ET53" s="518">
        <v>0</v>
      </c>
      <c r="EU53" s="518">
        <v>0</v>
      </c>
      <c r="EV53" s="518">
        <v>0</v>
      </c>
      <c r="EW53" s="518">
        <v>0</v>
      </c>
      <c r="EX53" s="518">
        <v>-11340.305565018814</v>
      </c>
      <c r="EY53" s="518">
        <v>0</v>
      </c>
      <c r="EZ53" s="518">
        <v>750715.25377071521</v>
      </c>
      <c r="FB53" s="518">
        <v>102301.73989376257</v>
      </c>
      <c r="FC53" s="518">
        <v>-8634.3114091847365</v>
      </c>
      <c r="FF53" s="518">
        <v>606709.82741691661</v>
      </c>
      <c r="FI53" s="488">
        <v>3459.5172984825585</v>
      </c>
      <c r="FK53" s="488">
        <v>217</v>
      </c>
      <c r="FL53" s="488">
        <v>0</v>
      </c>
      <c r="FM53" s="488">
        <v>217</v>
      </c>
    </row>
    <row r="54" spans="1:169" s="488" customFormat="1" x14ac:dyDescent="0.2">
      <c r="A54" s="489" t="s">
        <v>36</v>
      </c>
      <c r="B54" s="489" t="s">
        <v>842</v>
      </c>
      <c r="C54" s="489">
        <v>2434</v>
      </c>
      <c r="D54" s="488" t="s">
        <v>169</v>
      </c>
      <c r="E54" s="490"/>
      <c r="F54" s="490"/>
      <c r="G54" s="490"/>
      <c r="H54" s="490"/>
      <c r="I54" s="490"/>
      <c r="J54" s="490"/>
      <c r="K54" s="490"/>
      <c r="L54" s="490"/>
      <c r="M54" s="490"/>
      <c r="N54" s="528">
        <v>211</v>
      </c>
      <c r="O54" s="529">
        <v>328.99119999999999</v>
      </c>
      <c r="P54" s="530">
        <v>542122.9601784941</v>
      </c>
      <c r="Q54" s="528">
        <v>101</v>
      </c>
      <c r="R54" s="529">
        <v>150.18700000000001</v>
      </c>
      <c r="S54" s="530">
        <v>247483.27924980214</v>
      </c>
      <c r="T54" s="531">
        <v>56</v>
      </c>
      <c r="U54" s="529">
        <v>98.784000000000006</v>
      </c>
      <c r="V54" s="530">
        <v>162779.65641109052</v>
      </c>
      <c r="W54" s="491"/>
      <c r="X54" s="532">
        <v>0</v>
      </c>
      <c r="Y54" s="530">
        <v>0</v>
      </c>
      <c r="Z54" s="529">
        <v>368</v>
      </c>
      <c r="AA54" s="532">
        <v>577.96219999999994</v>
      </c>
      <c r="AB54" s="530">
        <v>952386</v>
      </c>
      <c r="AC54" s="490"/>
      <c r="AD54" s="490"/>
      <c r="AE54" s="490"/>
      <c r="AF54" s="490"/>
      <c r="AG54" s="490"/>
      <c r="AH54" s="490"/>
      <c r="AI54" s="554">
        <v>188680.60004797752</v>
      </c>
      <c r="AJ54" s="530">
        <v>0</v>
      </c>
      <c r="AK54" s="530">
        <v>0</v>
      </c>
      <c r="AL54" s="530">
        <v>7469.3</v>
      </c>
      <c r="AM54" s="534"/>
      <c r="AN54" s="530">
        <v>0</v>
      </c>
      <c r="AO54" s="535">
        <v>72.3</v>
      </c>
      <c r="AP54" s="530">
        <v>2781.7467091720864</v>
      </c>
      <c r="AQ54" s="536">
        <v>2</v>
      </c>
      <c r="AR54" s="530">
        <v>22680.611130037629</v>
      </c>
      <c r="AS54" s="490"/>
      <c r="AT54" s="536">
        <v>10</v>
      </c>
      <c r="AU54" s="536">
        <v>10</v>
      </c>
      <c r="AV54" s="537">
        <v>10</v>
      </c>
      <c r="AW54" s="538">
        <v>6006.4775020415564</v>
      </c>
      <c r="AX54" s="539"/>
      <c r="AY54" s="535">
        <v>0</v>
      </c>
      <c r="AZ54" s="540"/>
      <c r="BA54" s="499"/>
      <c r="BB54" s="528">
        <v>15</v>
      </c>
      <c r="BC54" s="528">
        <v>11425.964391691394</v>
      </c>
      <c r="BD54" s="528">
        <v>37</v>
      </c>
      <c r="BE54" s="538">
        <v>12091.005936883892</v>
      </c>
      <c r="BF54" s="535">
        <v>335</v>
      </c>
      <c r="BG54" s="535">
        <v>126</v>
      </c>
      <c r="BH54" s="535">
        <v>347</v>
      </c>
      <c r="BI54" s="535">
        <v>134</v>
      </c>
      <c r="BJ54" s="536">
        <v>368</v>
      </c>
      <c r="BK54" s="536">
        <v>152</v>
      </c>
      <c r="BL54" s="541">
        <v>350</v>
      </c>
      <c r="BM54" s="541">
        <v>137.33000000000001</v>
      </c>
      <c r="BN54" s="542">
        <v>39.24</v>
      </c>
      <c r="BO54" s="529">
        <v>144.4</v>
      </c>
      <c r="BP54" s="528">
        <v>212948.90569650929</v>
      </c>
      <c r="BQ54" s="536">
        <v>9</v>
      </c>
      <c r="BR54" s="530">
        <v>1808.74</v>
      </c>
      <c r="BS54" s="536">
        <v>29</v>
      </c>
      <c r="BT54" s="530">
        <v>5860.47254438651</v>
      </c>
      <c r="BU54" s="530">
        <v>770</v>
      </c>
      <c r="BV54" s="530">
        <v>175083.70208424429</v>
      </c>
      <c r="BW54" s="536">
        <v>30</v>
      </c>
      <c r="BX54" s="530">
        <v>25683.522742578523</v>
      </c>
      <c r="BY54" s="500"/>
      <c r="BZ54" s="282"/>
      <c r="CA54" s="282"/>
      <c r="CB54" s="490"/>
      <c r="CC54" s="490"/>
      <c r="CD54" s="490"/>
      <c r="CE54" s="282"/>
      <c r="CF54" s="490"/>
      <c r="CG54" s="543">
        <v>368</v>
      </c>
      <c r="CH54" s="532" t="e">
        <v>#DIV/0!</v>
      </c>
      <c r="CI54" s="532" t="e">
        <v>#DIV/0!</v>
      </c>
      <c r="CJ54" s="544"/>
      <c r="CK54" s="490"/>
      <c r="CL54" s="545">
        <v>2370.9237918215613</v>
      </c>
      <c r="CM54" s="546">
        <v>1</v>
      </c>
      <c r="CN54" s="532">
        <v>2370.9237918215613</v>
      </c>
      <c r="CO54" s="530">
        <v>3393.6</v>
      </c>
      <c r="CP54" s="490"/>
      <c r="CQ54" s="490"/>
      <c r="CR54" s="490"/>
      <c r="CS54" s="490"/>
      <c r="CT54" s="490"/>
      <c r="CU54" s="490"/>
      <c r="CV54" s="490"/>
      <c r="CW54" s="490"/>
      <c r="CX54" s="490"/>
      <c r="CY54" s="547"/>
      <c r="CZ54" s="530">
        <v>0</v>
      </c>
      <c r="DA54" s="506">
        <v>55004.81</v>
      </c>
      <c r="DB54" s="548"/>
      <c r="DC54" s="537">
        <v>0</v>
      </c>
      <c r="DD54" s="530">
        <v>0</v>
      </c>
      <c r="DE54" s="490"/>
      <c r="DF54" s="529">
        <v>1</v>
      </c>
      <c r="DG54" s="549">
        <v>70073.495851086889</v>
      </c>
      <c r="DH54" s="550"/>
      <c r="DI54" s="530">
        <v>0</v>
      </c>
      <c r="DJ54" s="551"/>
      <c r="DK54" s="552"/>
      <c r="DL54" s="560">
        <v>128521.25444332088</v>
      </c>
      <c r="DM54" s="490"/>
      <c r="DN54" s="561">
        <v>8153.7170096320333</v>
      </c>
      <c r="DO54" s="553">
        <v>0</v>
      </c>
      <c r="DP54" s="530">
        <v>0</v>
      </c>
      <c r="DQ54" s="282"/>
      <c r="DR54" s="510"/>
      <c r="DS54" s="282"/>
      <c r="DT54" s="541">
        <v>0</v>
      </c>
      <c r="DU54" s="541">
        <v>0</v>
      </c>
      <c r="DV54" s="490"/>
      <c r="DW54" s="490"/>
      <c r="DX54" s="511">
        <v>235230.72940000001</v>
      </c>
      <c r="DY54" s="512">
        <v>0</v>
      </c>
      <c r="DZ54" s="513">
        <v>2125284.6554895625</v>
      </c>
      <c r="EA54" s="513">
        <v>0</v>
      </c>
      <c r="EB54" s="514">
        <v>0</v>
      </c>
      <c r="EC54" s="514">
        <v>0</v>
      </c>
      <c r="ED54" s="514">
        <v>-8231.9026000000013</v>
      </c>
      <c r="EE54" s="494"/>
      <c r="EF54" s="513">
        <v>2117052.7528895624</v>
      </c>
      <c r="EG54" s="513">
        <v>2062047.9428895623</v>
      </c>
      <c r="EH54" s="515">
        <v>368</v>
      </c>
      <c r="EI54" s="516">
        <v>15435.35937170816</v>
      </c>
      <c r="EJ54" s="517"/>
      <c r="EL54" s="518"/>
      <c r="EM54" s="518">
        <v>2117052.7528895624</v>
      </c>
      <c r="EN54" s="518">
        <v>-235230.72940000001</v>
      </c>
      <c r="EO54" s="518">
        <v>8231.9026000000013</v>
      </c>
      <c r="EP54" s="518">
        <v>0</v>
      </c>
      <c r="EQ54" s="518">
        <v>-6006.4775020415564</v>
      </c>
      <c r="ER54" s="518">
        <v>0</v>
      </c>
      <c r="ES54" s="518">
        <v>0</v>
      </c>
      <c r="ET54" s="518">
        <v>-188680.60004797752</v>
      </c>
      <c r="EU54" s="518">
        <v>0</v>
      </c>
      <c r="EV54" s="518">
        <v>0</v>
      </c>
      <c r="EW54" s="518">
        <v>0</v>
      </c>
      <c r="EX54" s="518">
        <v>-22680.611130037629</v>
      </c>
      <c r="EY54" s="518">
        <v>-41108.85006092846</v>
      </c>
      <c r="EZ54" s="518">
        <v>1631577.3873485774</v>
      </c>
      <c r="FB54" s="518">
        <v>226998.82680000001</v>
      </c>
      <c r="FC54" s="518">
        <v>-194687.07755001908</v>
      </c>
      <c r="FF54" s="518">
        <v>1379336.8349150233</v>
      </c>
      <c r="FI54" s="488">
        <v>4701.9521249238542</v>
      </c>
      <c r="FK54" s="488">
        <v>363</v>
      </c>
      <c r="FL54" s="488">
        <v>16</v>
      </c>
      <c r="FM54" s="488">
        <v>347</v>
      </c>
    </row>
    <row r="55" spans="1:169" s="488" customFormat="1" x14ac:dyDescent="0.2">
      <c r="A55" s="489" t="s">
        <v>37</v>
      </c>
      <c r="B55" s="489" t="s">
        <v>843</v>
      </c>
      <c r="C55" s="489">
        <v>2522</v>
      </c>
      <c r="D55" s="488" t="s">
        <v>169</v>
      </c>
      <c r="E55" s="490"/>
      <c r="F55" s="490"/>
      <c r="G55" s="490"/>
      <c r="H55" s="490"/>
      <c r="I55" s="490"/>
      <c r="J55" s="490"/>
      <c r="K55" s="490"/>
      <c r="L55" s="490"/>
      <c r="M55" s="490"/>
      <c r="N55" s="528">
        <v>237</v>
      </c>
      <c r="O55" s="529">
        <v>369.53039999999999</v>
      </c>
      <c r="P55" s="530">
        <v>608924.84152750287</v>
      </c>
      <c r="Q55" s="528">
        <v>110</v>
      </c>
      <c r="R55" s="529">
        <v>163.57</v>
      </c>
      <c r="S55" s="530">
        <v>269536.24472750729</v>
      </c>
      <c r="T55" s="531">
        <v>58</v>
      </c>
      <c r="U55" s="529">
        <v>102.312</v>
      </c>
      <c r="V55" s="530">
        <v>168593.21556862947</v>
      </c>
      <c r="W55" s="491"/>
      <c r="X55" s="532">
        <v>0</v>
      </c>
      <c r="Y55" s="530">
        <v>0</v>
      </c>
      <c r="Z55" s="529">
        <v>405</v>
      </c>
      <c r="AA55" s="532">
        <v>635.41239999999993</v>
      </c>
      <c r="AB55" s="530">
        <v>1047053</v>
      </c>
      <c r="AC55" s="490"/>
      <c r="AD55" s="490"/>
      <c r="AE55" s="490"/>
      <c r="AF55" s="490"/>
      <c r="AG55" s="490"/>
      <c r="AH55" s="490"/>
      <c r="AI55" s="533"/>
      <c r="AJ55" s="530">
        <v>0</v>
      </c>
      <c r="AK55" s="530">
        <v>0</v>
      </c>
      <c r="AL55" s="530">
        <v>8220.2800000000007</v>
      </c>
      <c r="AM55" s="534"/>
      <c r="AN55" s="530">
        <v>0</v>
      </c>
      <c r="AO55" s="535">
        <v>0</v>
      </c>
      <c r="AP55" s="530">
        <v>0</v>
      </c>
      <c r="AQ55" s="536">
        <v>2</v>
      </c>
      <c r="AR55" s="530">
        <v>22680.611130037629</v>
      </c>
      <c r="AS55" s="490"/>
      <c r="AT55" s="536">
        <v>0</v>
      </c>
      <c r="AU55" s="536">
        <v>0</v>
      </c>
      <c r="AV55" s="537">
        <v>0</v>
      </c>
      <c r="AW55" s="538">
        <v>0</v>
      </c>
      <c r="AX55" s="539"/>
      <c r="AY55" s="535">
        <v>0</v>
      </c>
      <c r="AZ55" s="540"/>
      <c r="BA55" s="499"/>
      <c r="BB55" s="528">
        <v>2</v>
      </c>
      <c r="BC55" s="528">
        <v>1523.4619188921858</v>
      </c>
      <c r="BD55" s="528">
        <v>16</v>
      </c>
      <c r="BE55" s="538">
        <v>5228.5431078416832</v>
      </c>
      <c r="BF55" s="535">
        <v>408</v>
      </c>
      <c r="BG55" s="535">
        <v>12</v>
      </c>
      <c r="BH55" s="535">
        <v>405</v>
      </c>
      <c r="BI55" s="535">
        <v>19</v>
      </c>
      <c r="BJ55" s="536">
        <v>405</v>
      </c>
      <c r="BK55" s="536">
        <v>15</v>
      </c>
      <c r="BL55" s="541">
        <v>406</v>
      </c>
      <c r="BM55" s="541">
        <v>15.33</v>
      </c>
      <c r="BN55" s="542">
        <v>3.78</v>
      </c>
      <c r="BO55" s="529">
        <v>15.31</v>
      </c>
      <c r="BP55" s="528">
        <v>22577.892979318261</v>
      </c>
      <c r="BQ55" s="536">
        <v>16</v>
      </c>
      <c r="BR55" s="530">
        <v>3215.54</v>
      </c>
      <c r="BS55" s="536">
        <v>22</v>
      </c>
      <c r="BT55" s="530">
        <v>4445.8757233276974</v>
      </c>
      <c r="BU55" s="530">
        <v>82</v>
      </c>
      <c r="BV55" s="530">
        <v>18645.277364815625</v>
      </c>
      <c r="BW55" s="536">
        <v>3</v>
      </c>
      <c r="BX55" s="530">
        <v>2568.3522742578525</v>
      </c>
      <c r="BY55" s="500"/>
      <c r="BZ55" s="282"/>
      <c r="CA55" s="282"/>
      <c r="CB55" s="490"/>
      <c r="CC55" s="490"/>
      <c r="CD55" s="490"/>
      <c r="CE55" s="282"/>
      <c r="CF55" s="490"/>
      <c r="CG55" s="543">
        <v>405</v>
      </c>
      <c r="CH55" s="532" t="e">
        <v>#DIV/0!</v>
      </c>
      <c r="CI55" s="532" t="e">
        <v>#DIV/0!</v>
      </c>
      <c r="CJ55" s="544"/>
      <c r="CK55" s="490"/>
      <c r="CL55" s="545">
        <v>2376.33</v>
      </c>
      <c r="CM55" s="546">
        <v>2</v>
      </c>
      <c r="CN55" s="532">
        <v>4752.66</v>
      </c>
      <c r="CO55" s="530">
        <v>6802.68</v>
      </c>
      <c r="CP55" s="490"/>
      <c r="CQ55" s="490"/>
      <c r="CR55" s="490"/>
      <c r="CS55" s="490"/>
      <c r="CT55" s="490"/>
      <c r="CU55" s="490"/>
      <c r="CV55" s="490"/>
      <c r="CW55" s="490"/>
      <c r="CX55" s="490"/>
      <c r="CY55" s="547"/>
      <c r="CZ55" s="530">
        <v>0</v>
      </c>
      <c r="DA55" s="506">
        <v>16488</v>
      </c>
      <c r="DB55" s="548"/>
      <c r="DC55" s="537">
        <v>0</v>
      </c>
      <c r="DD55" s="530">
        <v>0</v>
      </c>
      <c r="DE55" s="490"/>
      <c r="DF55" s="529">
        <v>1</v>
      </c>
      <c r="DG55" s="549">
        <v>70073.495851086889</v>
      </c>
      <c r="DH55" s="550"/>
      <c r="DI55" s="530">
        <v>0</v>
      </c>
      <c r="DJ55" s="551"/>
      <c r="DK55" s="552"/>
      <c r="DL55" s="282"/>
      <c r="DM55" s="490"/>
      <c r="DN55" s="509"/>
      <c r="DO55" s="553">
        <v>0</v>
      </c>
      <c r="DP55" s="530">
        <v>0</v>
      </c>
      <c r="DQ55" s="282"/>
      <c r="DR55" s="510"/>
      <c r="DS55" s="282"/>
      <c r="DT55" s="541">
        <v>0</v>
      </c>
      <c r="DU55" s="541">
        <v>0</v>
      </c>
      <c r="DV55" s="490"/>
      <c r="DW55" s="490"/>
      <c r="DX55" s="511"/>
      <c r="DY55" s="512">
        <v>0</v>
      </c>
      <c r="DZ55" s="513">
        <v>1229523.0103495778</v>
      </c>
      <c r="EA55" s="513">
        <v>0</v>
      </c>
      <c r="EB55" s="514">
        <v>0</v>
      </c>
      <c r="EC55" s="514">
        <v>0</v>
      </c>
      <c r="ED55" s="514">
        <v>0</v>
      </c>
      <c r="EE55" s="494"/>
      <c r="EF55" s="513">
        <v>1229523.0103495778</v>
      </c>
      <c r="EG55" s="513">
        <v>1213035.0103495778</v>
      </c>
      <c r="EH55" s="515">
        <v>405</v>
      </c>
      <c r="EI55" s="516">
        <v>16987.284091146208</v>
      </c>
      <c r="EJ55" s="517"/>
      <c r="EL55" s="518"/>
      <c r="EM55" s="518">
        <v>1229523.0103495778</v>
      </c>
      <c r="EN55" s="518">
        <v>0</v>
      </c>
      <c r="EO55" s="518">
        <v>0</v>
      </c>
      <c r="EP55" s="518">
        <v>0</v>
      </c>
      <c r="EQ55" s="518">
        <v>0</v>
      </c>
      <c r="ER55" s="518">
        <v>0</v>
      </c>
      <c r="ES55" s="518">
        <v>0</v>
      </c>
      <c r="ET55" s="518">
        <v>0</v>
      </c>
      <c r="EU55" s="518">
        <v>0</v>
      </c>
      <c r="EV55" s="518">
        <v>0</v>
      </c>
      <c r="EW55" s="518">
        <v>0</v>
      </c>
      <c r="EX55" s="518">
        <v>-22680.611130037629</v>
      </c>
      <c r="EY55" s="518">
        <v>0</v>
      </c>
      <c r="EZ55" s="518">
        <v>1206842.3992195402</v>
      </c>
      <c r="FB55" s="518">
        <v>0</v>
      </c>
      <c r="FC55" s="518">
        <v>0</v>
      </c>
      <c r="FF55" s="518">
        <v>1095583.5245372839</v>
      </c>
      <c r="FI55" s="488">
        <v>2950.7149125172132</v>
      </c>
      <c r="FK55" s="488">
        <v>409</v>
      </c>
      <c r="FL55" s="488">
        <v>0</v>
      </c>
      <c r="FM55" s="488">
        <v>409</v>
      </c>
    </row>
    <row r="56" spans="1:169" s="488" customFormat="1" x14ac:dyDescent="0.2">
      <c r="A56" s="489" t="s">
        <v>38</v>
      </c>
      <c r="B56" s="489" t="s">
        <v>844</v>
      </c>
      <c r="C56" s="489">
        <v>2436</v>
      </c>
      <c r="D56" s="488" t="s">
        <v>169</v>
      </c>
      <c r="E56" s="490"/>
      <c r="F56" s="490"/>
      <c r="G56" s="490"/>
      <c r="H56" s="490"/>
      <c r="I56" s="490"/>
      <c r="J56" s="490"/>
      <c r="K56" s="490"/>
      <c r="L56" s="490"/>
      <c r="M56" s="490"/>
      <c r="N56" s="528">
        <v>170</v>
      </c>
      <c r="O56" s="529">
        <v>265.06399999999996</v>
      </c>
      <c r="P56" s="530">
        <v>436781.53189736488</v>
      </c>
      <c r="Q56" s="528">
        <v>89</v>
      </c>
      <c r="R56" s="529">
        <v>132.34300000000002</v>
      </c>
      <c r="S56" s="530">
        <v>218079.32527952862</v>
      </c>
      <c r="T56" s="531">
        <v>45</v>
      </c>
      <c r="U56" s="529">
        <v>79.38</v>
      </c>
      <c r="V56" s="530">
        <v>130805.08104462631</v>
      </c>
      <c r="W56" s="491"/>
      <c r="X56" s="532">
        <v>0</v>
      </c>
      <c r="Y56" s="530">
        <v>0</v>
      </c>
      <c r="Z56" s="529">
        <v>304</v>
      </c>
      <c r="AA56" s="532">
        <v>476.78699999999998</v>
      </c>
      <c r="AB56" s="530">
        <v>785665</v>
      </c>
      <c r="AC56" s="490"/>
      <c r="AD56" s="490"/>
      <c r="AE56" s="490"/>
      <c r="AF56" s="490"/>
      <c r="AG56" s="490"/>
      <c r="AH56" s="490"/>
      <c r="AI56" s="554">
        <v>205994.57915850607</v>
      </c>
      <c r="AJ56" s="530">
        <v>0</v>
      </c>
      <c r="AK56" s="530">
        <v>0</v>
      </c>
      <c r="AL56" s="530">
        <v>6170.29</v>
      </c>
      <c r="AM56" s="534"/>
      <c r="AN56" s="530">
        <v>0</v>
      </c>
      <c r="AO56" s="535">
        <v>125.8</v>
      </c>
      <c r="AP56" s="530">
        <v>4840.1623238429929</v>
      </c>
      <c r="AQ56" s="536">
        <v>2</v>
      </c>
      <c r="AR56" s="530">
        <v>22680.611130037629</v>
      </c>
      <c r="AS56" s="490"/>
      <c r="AT56" s="536">
        <v>27.5</v>
      </c>
      <c r="AU56" s="536">
        <v>27.5</v>
      </c>
      <c r="AV56" s="537">
        <v>27.5</v>
      </c>
      <c r="AW56" s="538">
        <v>16517.813130614279</v>
      </c>
      <c r="AX56" s="539"/>
      <c r="AY56" s="535">
        <v>0</v>
      </c>
      <c r="AZ56" s="540"/>
      <c r="BA56" s="499"/>
      <c r="BB56" s="528">
        <v>5</v>
      </c>
      <c r="BC56" s="528">
        <v>3808.6547972304647</v>
      </c>
      <c r="BD56" s="528">
        <v>10</v>
      </c>
      <c r="BE56" s="538">
        <v>3267.8394424010521</v>
      </c>
      <c r="BF56" s="535">
        <v>299</v>
      </c>
      <c r="BG56" s="535">
        <v>40</v>
      </c>
      <c r="BH56" s="535">
        <v>300</v>
      </c>
      <c r="BI56" s="535">
        <v>39</v>
      </c>
      <c r="BJ56" s="536">
        <v>304</v>
      </c>
      <c r="BK56" s="536">
        <v>36</v>
      </c>
      <c r="BL56" s="541">
        <v>301</v>
      </c>
      <c r="BM56" s="541">
        <v>38.33</v>
      </c>
      <c r="BN56" s="542">
        <v>12.73</v>
      </c>
      <c r="BO56" s="529">
        <v>38.700000000000003</v>
      </c>
      <c r="BP56" s="528">
        <v>57071.486498995218</v>
      </c>
      <c r="BQ56" s="536">
        <v>8</v>
      </c>
      <c r="BR56" s="530">
        <v>1607.77</v>
      </c>
      <c r="BS56" s="536">
        <v>16</v>
      </c>
      <c r="BT56" s="530">
        <v>3233.3641624201437</v>
      </c>
      <c r="BU56" s="530">
        <v>232</v>
      </c>
      <c r="BV56" s="530">
        <v>52752.49205655152</v>
      </c>
      <c r="BW56" s="536">
        <v>2</v>
      </c>
      <c r="BX56" s="530">
        <v>1712.2348495052349</v>
      </c>
      <c r="BY56" s="500"/>
      <c r="BZ56" s="282"/>
      <c r="CA56" s="282"/>
      <c r="CB56" s="490"/>
      <c r="CC56" s="490"/>
      <c r="CD56" s="490"/>
      <c r="CE56" s="282"/>
      <c r="CF56" s="490"/>
      <c r="CG56" s="543">
        <v>304</v>
      </c>
      <c r="CH56" s="532" t="e">
        <v>#DIV/0!</v>
      </c>
      <c r="CI56" s="532" t="e">
        <v>#DIV/0!</v>
      </c>
      <c r="CJ56" s="544"/>
      <c r="CK56" s="490"/>
      <c r="CL56" s="545">
        <v>1778.85</v>
      </c>
      <c r="CM56" s="546">
        <v>2</v>
      </c>
      <c r="CN56" s="532">
        <v>3557.7</v>
      </c>
      <c r="CO56" s="530">
        <v>5092.29</v>
      </c>
      <c r="CP56" s="490"/>
      <c r="CQ56" s="490"/>
      <c r="CR56" s="490"/>
      <c r="CS56" s="490"/>
      <c r="CT56" s="490"/>
      <c r="CU56" s="490"/>
      <c r="CV56" s="490"/>
      <c r="CW56" s="490"/>
      <c r="CX56" s="490"/>
      <c r="CY56" s="547"/>
      <c r="CZ56" s="530">
        <v>0</v>
      </c>
      <c r="DA56" s="506">
        <v>13053</v>
      </c>
      <c r="DB56" s="548"/>
      <c r="DC56" s="537">
        <v>0</v>
      </c>
      <c r="DD56" s="530">
        <v>0</v>
      </c>
      <c r="DE56" s="490"/>
      <c r="DF56" s="529">
        <v>1</v>
      </c>
      <c r="DG56" s="549">
        <v>70073.495851086889</v>
      </c>
      <c r="DH56" s="550"/>
      <c r="DI56" s="530">
        <v>0</v>
      </c>
      <c r="DJ56" s="551"/>
      <c r="DK56" s="552"/>
      <c r="DL56" s="282"/>
      <c r="DM56" s="490"/>
      <c r="DN56" s="509"/>
      <c r="DO56" s="553">
        <v>0</v>
      </c>
      <c r="DP56" s="530">
        <v>0</v>
      </c>
      <c r="DQ56" s="282"/>
      <c r="DR56" s="510"/>
      <c r="DS56" s="282"/>
      <c r="DT56" s="541">
        <v>0</v>
      </c>
      <c r="DU56" s="541">
        <v>0</v>
      </c>
      <c r="DV56" s="490"/>
      <c r="DW56" s="490"/>
      <c r="DX56" s="511"/>
      <c r="DY56" s="512">
        <v>0</v>
      </c>
      <c r="DZ56" s="513">
        <v>1253541.0834011915</v>
      </c>
      <c r="EA56" s="513">
        <v>35345.854678697651</v>
      </c>
      <c r="EB56" s="514">
        <v>6132</v>
      </c>
      <c r="EC56" s="514">
        <v>0</v>
      </c>
      <c r="ED56" s="514">
        <v>0</v>
      </c>
      <c r="EE56" s="494"/>
      <c r="EF56" s="513">
        <v>1295018.9380798892</v>
      </c>
      <c r="EG56" s="513">
        <v>1281965.9380798892</v>
      </c>
      <c r="EH56" s="515">
        <v>304</v>
      </c>
      <c r="EI56" s="516">
        <v>12750.949046193698</v>
      </c>
      <c r="EJ56" s="517"/>
      <c r="EL56" s="518"/>
      <c r="EM56" s="518">
        <v>1295018.9380798892</v>
      </c>
      <c r="EN56" s="518">
        <v>0</v>
      </c>
      <c r="EO56" s="518">
        <v>0</v>
      </c>
      <c r="EP56" s="518">
        <v>0</v>
      </c>
      <c r="EQ56" s="518">
        <v>-16517.813130614279</v>
      </c>
      <c r="ER56" s="518">
        <v>0</v>
      </c>
      <c r="ES56" s="518">
        <v>-6132</v>
      </c>
      <c r="ET56" s="518">
        <v>-205994.57915850607</v>
      </c>
      <c r="EU56" s="518">
        <v>0</v>
      </c>
      <c r="EV56" s="518">
        <v>0</v>
      </c>
      <c r="EW56" s="518">
        <v>0</v>
      </c>
      <c r="EX56" s="518">
        <v>-22680.611130037629</v>
      </c>
      <c r="EY56" s="518">
        <v>-15058.897878992466</v>
      </c>
      <c r="EZ56" s="518">
        <v>1028635.0367817386</v>
      </c>
      <c r="FB56" s="518">
        <v>0</v>
      </c>
      <c r="FC56" s="518">
        <v>-222512.39228912035</v>
      </c>
      <c r="FF56" s="518">
        <v>902617.63820228248</v>
      </c>
      <c r="FI56" s="488">
        <v>3463.4176322617463</v>
      </c>
      <c r="FK56" s="488">
        <v>303</v>
      </c>
      <c r="FL56" s="488">
        <v>6</v>
      </c>
      <c r="FM56" s="488">
        <v>297</v>
      </c>
    </row>
    <row r="57" spans="1:169" s="488" customFormat="1" x14ac:dyDescent="0.2">
      <c r="A57" s="489" t="s">
        <v>39</v>
      </c>
      <c r="B57" s="489" t="s">
        <v>845</v>
      </c>
      <c r="C57" s="489">
        <v>2452</v>
      </c>
      <c r="D57" s="488" t="s">
        <v>169</v>
      </c>
      <c r="E57" s="490"/>
      <c r="F57" s="490"/>
      <c r="G57" s="490"/>
      <c r="H57" s="490"/>
      <c r="I57" s="490"/>
      <c r="J57" s="490"/>
      <c r="K57" s="490"/>
      <c r="L57" s="490"/>
      <c r="M57" s="490"/>
      <c r="N57" s="528">
        <v>123</v>
      </c>
      <c r="O57" s="529">
        <v>191.7816</v>
      </c>
      <c r="P57" s="530">
        <v>316024.28484338755</v>
      </c>
      <c r="Q57" s="528">
        <v>57</v>
      </c>
      <c r="R57" s="529">
        <v>84.759</v>
      </c>
      <c r="S57" s="530">
        <v>139668.7813587992</v>
      </c>
      <c r="T57" s="531">
        <v>30</v>
      </c>
      <c r="U57" s="529">
        <v>52.92</v>
      </c>
      <c r="V57" s="530">
        <v>87203.387363084214</v>
      </c>
      <c r="W57" s="491"/>
      <c r="X57" s="532">
        <v>0</v>
      </c>
      <c r="Y57" s="530">
        <v>0</v>
      </c>
      <c r="Z57" s="529">
        <v>210</v>
      </c>
      <c r="AA57" s="532">
        <v>329.4606</v>
      </c>
      <c r="AB57" s="530">
        <v>542897</v>
      </c>
      <c r="AC57" s="490"/>
      <c r="AD57" s="490"/>
      <c r="AE57" s="490"/>
      <c r="AF57" s="490"/>
      <c r="AG57" s="490"/>
      <c r="AH57" s="490"/>
      <c r="AI57" s="533"/>
      <c r="AJ57" s="530">
        <v>0</v>
      </c>
      <c r="AK57" s="530">
        <v>0</v>
      </c>
      <c r="AL57" s="530">
        <v>4262.37</v>
      </c>
      <c r="AM57" s="534"/>
      <c r="AN57" s="530">
        <v>0</v>
      </c>
      <c r="AO57" s="535">
        <v>74.7</v>
      </c>
      <c r="AP57" s="530">
        <v>2874.0868488956407</v>
      </c>
      <c r="AQ57" s="536">
        <v>1</v>
      </c>
      <c r="AR57" s="530">
        <v>11340.305565018814</v>
      </c>
      <c r="AS57" s="490"/>
      <c r="AT57" s="536">
        <v>10</v>
      </c>
      <c r="AU57" s="536">
        <v>10</v>
      </c>
      <c r="AV57" s="537">
        <v>10</v>
      </c>
      <c r="AW57" s="538">
        <v>6006.4775020415564</v>
      </c>
      <c r="AX57" s="539"/>
      <c r="AY57" s="535">
        <v>0</v>
      </c>
      <c r="AZ57" s="540"/>
      <c r="BA57" s="499"/>
      <c r="BB57" s="528">
        <v>4</v>
      </c>
      <c r="BC57" s="528">
        <v>3046.9238377843717</v>
      </c>
      <c r="BD57" s="528">
        <v>6</v>
      </c>
      <c r="BE57" s="538">
        <v>1960.7036654406311</v>
      </c>
      <c r="BF57" s="535">
        <v>215</v>
      </c>
      <c r="BG57" s="535">
        <v>63</v>
      </c>
      <c r="BH57" s="535">
        <v>207</v>
      </c>
      <c r="BI57" s="535">
        <v>54</v>
      </c>
      <c r="BJ57" s="536">
        <v>210</v>
      </c>
      <c r="BK57" s="536">
        <v>56</v>
      </c>
      <c r="BL57" s="541">
        <v>210.67</v>
      </c>
      <c r="BM57" s="541">
        <v>57.67</v>
      </c>
      <c r="BN57" s="542">
        <v>27.37</v>
      </c>
      <c r="BO57" s="529">
        <v>57.48</v>
      </c>
      <c r="BP57" s="528">
        <v>84766.641962848706</v>
      </c>
      <c r="BQ57" s="536">
        <v>5</v>
      </c>
      <c r="BR57" s="530">
        <v>1004.86</v>
      </c>
      <c r="BS57" s="536">
        <v>8</v>
      </c>
      <c r="BT57" s="530">
        <v>1616.6820812100718</v>
      </c>
      <c r="BU57" s="530">
        <v>350</v>
      </c>
      <c r="BV57" s="530">
        <v>79583.500947383756</v>
      </c>
      <c r="BW57" s="536">
        <v>6</v>
      </c>
      <c r="BX57" s="530">
        <v>5136.704548515705</v>
      </c>
      <c r="BY57" s="500"/>
      <c r="BZ57" s="282"/>
      <c r="CA57" s="282"/>
      <c r="CB57" s="490"/>
      <c r="CC57" s="490"/>
      <c r="CD57" s="490"/>
      <c r="CE57" s="282"/>
      <c r="CF57" s="490"/>
      <c r="CG57" s="543">
        <v>210</v>
      </c>
      <c r="CH57" s="532" t="e">
        <v>#DIV/0!</v>
      </c>
      <c r="CI57" s="532" t="e">
        <v>#DIV/0!</v>
      </c>
      <c r="CJ57" s="544"/>
      <c r="CK57" s="490"/>
      <c r="CL57" s="545">
        <v>1331.3558515699335</v>
      </c>
      <c r="CM57" s="546">
        <v>2</v>
      </c>
      <c r="CN57" s="532">
        <v>2662.711703139867</v>
      </c>
      <c r="CO57" s="530">
        <v>3811.25</v>
      </c>
      <c r="CP57" s="490"/>
      <c r="CQ57" s="490"/>
      <c r="CR57" s="490"/>
      <c r="CS57" s="490"/>
      <c r="CT57" s="490"/>
      <c r="CU57" s="490"/>
      <c r="CV57" s="490"/>
      <c r="CW57" s="490"/>
      <c r="CX57" s="490"/>
      <c r="CY57" s="547"/>
      <c r="CZ57" s="530">
        <v>0</v>
      </c>
      <c r="DA57" s="506">
        <v>14198</v>
      </c>
      <c r="DB57" s="548"/>
      <c r="DC57" s="537">
        <v>0</v>
      </c>
      <c r="DD57" s="530">
        <v>0</v>
      </c>
      <c r="DE57" s="490"/>
      <c r="DF57" s="529">
        <v>1</v>
      </c>
      <c r="DG57" s="549">
        <v>70073.495851086889</v>
      </c>
      <c r="DH57" s="550"/>
      <c r="DI57" s="530">
        <v>0</v>
      </c>
      <c r="DJ57" s="551"/>
      <c r="DK57" s="552"/>
      <c r="DL57" s="282"/>
      <c r="DM57" s="490"/>
      <c r="DN57" s="509"/>
      <c r="DO57" s="553">
        <v>0</v>
      </c>
      <c r="DP57" s="530">
        <v>0</v>
      </c>
      <c r="DQ57" s="282"/>
      <c r="DR57" s="510"/>
      <c r="DS57" s="282"/>
      <c r="DT57" s="541">
        <v>0</v>
      </c>
      <c r="DU57" s="541">
        <v>0</v>
      </c>
      <c r="DV57" s="490"/>
      <c r="DW57" s="490"/>
      <c r="DX57" s="511">
        <v>84946.0334</v>
      </c>
      <c r="DY57" s="512">
        <v>0</v>
      </c>
      <c r="DZ57" s="513">
        <v>917525.03621022613</v>
      </c>
      <c r="EA57" s="513">
        <v>0</v>
      </c>
      <c r="EB57" s="514">
        <v>5632</v>
      </c>
      <c r="EC57" s="514">
        <v>0</v>
      </c>
      <c r="ED57" s="514">
        <v>-5679.6097515765869</v>
      </c>
      <c r="EE57" s="494"/>
      <c r="EF57" s="513">
        <v>917477.42645864957</v>
      </c>
      <c r="EG57" s="513">
        <v>903279.42645864957</v>
      </c>
      <c r="EH57" s="515">
        <v>210</v>
      </c>
      <c r="EI57" s="516">
        <v>8808.2213805943302</v>
      </c>
      <c r="EJ57" s="517"/>
      <c r="EL57" s="518"/>
      <c r="EM57" s="518">
        <v>917477.42645864957</v>
      </c>
      <c r="EN57" s="518">
        <v>-84946.0334</v>
      </c>
      <c r="EO57" s="518">
        <v>5679.6097515765869</v>
      </c>
      <c r="EP57" s="518">
        <v>0</v>
      </c>
      <c r="EQ57" s="518">
        <v>-6006.4775020415564</v>
      </c>
      <c r="ER57" s="518">
        <v>0</v>
      </c>
      <c r="ES57" s="518">
        <v>-5632</v>
      </c>
      <c r="ET57" s="518">
        <v>0</v>
      </c>
      <c r="EU57" s="518">
        <v>0</v>
      </c>
      <c r="EV57" s="518">
        <v>0</v>
      </c>
      <c r="EW57" s="518">
        <v>0</v>
      </c>
      <c r="EX57" s="518">
        <v>-11340.305565018814</v>
      </c>
      <c r="EY57" s="518">
        <v>0</v>
      </c>
      <c r="EZ57" s="518">
        <v>815232.21974316577</v>
      </c>
      <c r="FB57" s="518">
        <v>79266.423648423413</v>
      </c>
      <c r="FC57" s="518">
        <v>-6006.4775020415564</v>
      </c>
      <c r="FF57" s="518">
        <v>716435.63129653258</v>
      </c>
      <c r="FI57" s="488">
        <v>3882.0581892531704</v>
      </c>
      <c r="FK57" s="488">
        <v>210</v>
      </c>
      <c r="FL57" s="488">
        <v>0</v>
      </c>
      <c r="FM57" s="488">
        <v>210</v>
      </c>
    </row>
    <row r="58" spans="1:169" s="488" customFormat="1" x14ac:dyDescent="0.2">
      <c r="A58" s="489" t="s">
        <v>40</v>
      </c>
      <c r="B58" s="489" t="s">
        <v>846</v>
      </c>
      <c r="C58" s="489">
        <v>2627</v>
      </c>
      <c r="D58" s="488" t="s">
        <v>169</v>
      </c>
      <c r="E58" s="490"/>
      <c r="F58" s="490"/>
      <c r="G58" s="490"/>
      <c r="H58" s="490"/>
      <c r="I58" s="490"/>
      <c r="J58" s="490"/>
      <c r="K58" s="490"/>
      <c r="L58" s="490"/>
      <c r="M58" s="490"/>
      <c r="N58" s="528">
        <v>219</v>
      </c>
      <c r="O58" s="529">
        <v>341.46479999999997</v>
      </c>
      <c r="P58" s="530">
        <v>562677.38520895829</v>
      </c>
      <c r="Q58" s="528">
        <v>110</v>
      </c>
      <c r="R58" s="529">
        <v>163.57</v>
      </c>
      <c r="S58" s="530">
        <v>269536.24472750729</v>
      </c>
      <c r="T58" s="531">
        <v>60</v>
      </c>
      <c r="U58" s="529">
        <v>105.84</v>
      </c>
      <c r="V58" s="530">
        <v>174406.77472616843</v>
      </c>
      <c r="W58" s="491"/>
      <c r="X58" s="532">
        <v>0</v>
      </c>
      <c r="Y58" s="530">
        <v>0</v>
      </c>
      <c r="Z58" s="529">
        <v>389</v>
      </c>
      <c r="AA58" s="532">
        <v>610.87480000000005</v>
      </c>
      <c r="AB58" s="530">
        <v>1006620</v>
      </c>
      <c r="AC58" s="490"/>
      <c r="AD58" s="490"/>
      <c r="AE58" s="490"/>
      <c r="AF58" s="490"/>
      <c r="AG58" s="490"/>
      <c r="AH58" s="490"/>
      <c r="AI58" s="533"/>
      <c r="AJ58" s="530">
        <v>0</v>
      </c>
      <c r="AK58" s="530">
        <v>0</v>
      </c>
      <c r="AL58" s="530">
        <v>7895.53</v>
      </c>
      <c r="AM58" s="534"/>
      <c r="AN58" s="530">
        <v>0</v>
      </c>
      <c r="AO58" s="535">
        <v>140</v>
      </c>
      <c r="AP58" s="530">
        <v>5386.5081505406924</v>
      </c>
      <c r="AQ58" s="536">
        <v>2</v>
      </c>
      <c r="AR58" s="530">
        <v>22680.611130037629</v>
      </c>
      <c r="AS58" s="490"/>
      <c r="AT58" s="536">
        <v>5</v>
      </c>
      <c r="AU58" s="536">
        <v>5</v>
      </c>
      <c r="AV58" s="537">
        <v>5</v>
      </c>
      <c r="AW58" s="538">
        <v>3003.2387510207782</v>
      </c>
      <c r="AX58" s="539">
        <v>15</v>
      </c>
      <c r="AY58" s="535">
        <v>9009.7162530623336</v>
      </c>
      <c r="AZ58" s="540"/>
      <c r="BA58" s="499"/>
      <c r="BB58" s="528">
        <v>9</v>
      </c>
      <c r="BC58" s="528">
        <v>6855.5786350148364</v>
      </c>
      <c r="BD58" s="528">
        <v>20</v>
      </c>
      <c r="BE58" s="538">
        <v>6535.6788848021042</v>
      </c>
      <c r="BF58" s="535">
        <v>369</v>
      </c>
      <c r="BG58" s="535">
        <v>11</v>
      </c>
      <c r="BH58" s="535">
        <v>375</v>
      </c>
      <c r="BI58" s="535">
        <v>21</v>
      </c>
      <c r="BJ58" s="536">
        <v>389</v>
      </c>
      <c r="BK58" s="536">
        <v>15</v>
      </c>
      <c r="BL58" s="541">
        <v>377.67</v>
      </c>
      <c r="BM58" s="541">
        <v>15.67</v>
      </c>
      <c r="BN58" s="542">
        <v>4.1500000000000004</v>
      </c>
      <c r="BO58" s="529">
        <v>16.14</v>
      </c>
      <c r="BP58" s="528">
        <v>23801.906772449169</v>
      </c>
      <c r="BQ58" s="536">
        <v>45</v>
      </c>
      <c r="BR58" s="530">
        <v>9043.7099999999991</v>
      </c>
      <c r="BS58" s="536">
        <v>24</v>
      </c>
      <c r="BT58" s="530">
        <v>4850.046243630215</v>
      </c>
      <c r="BU58" s="530">
        <v>84</v>
      </c>
      <c r="BV58" s="530">
        <v>19100.040227372101</v>
      </c>
      <c r="BW58" s="536">
        <v>3</v>
      </c>
      <c r="BX58" s="530">
        <v>2568.3522742578525</v>
      </c>
      <c r="BY58" s="500"/>
      <c r="BZ58" s="282"/>
      <c r="CA58" s="282"/>
      <c r="CB58" s="490"/>
      <c r="CC58" s="490"/>
      <c r="CD58" s="490"/>
      <c r="CE58" s="282"/>
      <c r="CF58" s="490"/>
      <c r="CG58" s="543">
        <v>389</v>
      </c>
      <c r="CH58" s="532" t="e">
        <v>#DIV/0!</v>
      </c>
      <c r="CI58" s="532" t="e">
        <v>#DIV/0!</v>
      </c>
      <c r="CJ58" s="544"/>
      <c r="CK58" s="490"/>
      <c r="CL58" s="545">
        <v>1942.72</v>
      </c>
      <c r="CM58" s="546">
        <v>2</v>
      </c>
      <c r="CN58" s="532">
        <v>3885.44</v>
      </c>
      <c r="CO58" s="530">
        <v>5561.39</v>
      </c>
      <c r="CP58" s="490"/>
      <c r="CQ58" s="490"/>
      <c r="CR58" s="490"/>
      <c r="CS58" s="490"/>
      <c r="CT58" s="490"/>
      <c r="CU58" s="490"/>
      <c r="CV58" s="490"/>
      <c r="CW58" s="490"/>
      <c r="CX58" s="490"/>
      <c r="CY58" s="547"/>
      <c r="CZ58" s="530">
        <v>0</v>
      </c>
      <c r="DA58" s="506">
        <v>19236</v>
      </c>
      <c r="DB58" s="548"/>
      <c r="DC58" s="537">
        <v>0</v>
      </c>
      <c r="DD58" s="530">
        <v>0</v>
      </c>
      <c r="DE58" s="490"/>
      <c r="DF58" s="529">
        <v>1</v>
      </c>
      <c r="DG58" s="549">
        <v>70073.495851086889</v>
      </c>
      <c r="DH58" s="550"/>
      <c r="DI58" s="530">
        <v>0</v>
      </c>
      <c r="DJ58" s="551"/>
      <c r="DK58" s="552"/>
      <c r="DL58" s="282"/>
      <c r="DM58" s="490"/>
      <c r="DN58" s="509"/>
      <c r="DO58" s="553">
        <v>0</v>
      </c>
      <c r="DP58" s="530">
        <v>0</v>
      </c>
      <c r="DQ58" s="282"/>
      <c r="DR58" s="510"/>
      <c r="DS58" s="282"/>
      <c r="DT58" s="541">
        <v>0</v>
      </c>
      <c r="DU58" s="541">
        <v>0</v>
      </c>
      <c r="DV58" s="490"/>
      <c r="DW58" s="490"/>
      <c r="DX58" s="511"/>
      <c r="DY58" s="512">
        <v>0</v>
      </c>
      <c r="DZ58" s="513">
        <v>1222221.8031732745</v>
      </c>
      <c r="EA58" s="513">
        <v>0</v>
      </c>
      <c r="EB58" s="514">
        <v>626</v>
      </c>
      <c r="EC58" s="514">
        <v>0</v>
      </c>
      <c r="ED58" s="514">
        <v>0</v>
      </c>
      <c r="EE58" s="494"/>
      <c r="EF58" s="513">
        <v>1222847.8031732745</v>
      </c>
      <c r="EG58" s="513">
        <v>1203611.8031732745</v>
      </c>
      <c r="EH58" s="515">
        <v>389</v>
      </c>
      <c r="EI58" s="516">
        <v>16316.181509767594</v>
      </c>
      <c r="EJ58" s="517"/>
      <c r="EL58" s="518"/>
      <c r="EM58" s="518">
        <v>1222847.8031732745</v>
      </c>
      <c r="EN58" s="518">
        <v>0</v>
      </c>
      <c r="EO58" s="518">
        <v>0</v>
      </c>
      <c r="EP58" s="518">
        <v>0</v>
      </c>
      <c r="EQ58" s="518">
        <v>-3003.2387510207782</v>
      </c>
      <c r="ER58" s="518">
        <v>-9009.7162530623336</v>
      </c>
      <c r="ES58" s="518">
        <v>-626</v>
      </c>
      <c r="ET58" s="518">
        <v>0</v>
      </c>
      <c r="EU58" s="518">
        <v>0</v>
      </c>
      <c r="EV58" s="518">
        <v>0</v>
      </c>
      <c r="EW58" s="518">
        <v>0</v>
      </c>
      <c r="EX58" s="518">
        <v>-22680.611130037629</v>
      </c>
      <c r="EY58" s="518">
        <v>0</v>
      </c>
      <c r="EZ58" s="518">
        <v>1187528.2370391539</v>
      </c>
      <c r="FB58" s="518">
        <v>0</v>
      </c>
      <c r="FC58" s="518">
        <v>-12012.955004083113</v>
      </c>
      <c r="FF58" s="518">
        <v>1067989.5879090941</v>
      </c>
      <c r="FI58" s="488">
        <v>3068.5484161218446</v>
      </c>
      <c r="FK58" s="488">
        <v>387</v>
      </c>
      <c r="FL58" s="488">
        <v>0</v>
      </c>
      <c r="FM58" s="488">
        <v>387</v>
      </c>
    </row>
    <row r="59" spans="1:169" s="488" customFormat="1" x14ac:dyDescent="0.2">
      <c r="A59" s="489" t="s">
        <v>41</v>
      </c>
      <c r="B59" s="489" t="s">
        <v>847</v>
      </c>
      <c r="C59" s="489">
        <v>2418</v>
      </c>
      <c r="D59" s="488" t="s">
        <v>169</v>
      </c>
      <c r="E59" s="490"/>
      <c r="F59" s="490"/>
      <c r="G59" s="490"/>
      <c r="H59" s="490"/>
      <c r="I59" s="490"/>
      <c r="J59" s="490"/>
      <c r="K59" s="490"/>
      <c r="L59" s="490"/>
      <c r="M59" s="490"/>
      <c r="N59" s="528">
        <v>157</v>
      </c>
      <c r="O59" s="529">
        <v>244.7944</v>
      </c>
      <c r="P59" s="530">
        <v>403380.59122286056</v>
      </c>
      <c r="Q59" s="528">
        <v>79</v>
      </c>
      <c r="R59" s="529">
        <v>117.47300000000001</v>
      </c>
      <c r="S59" s="530">
        <v>193576.03030430069</v>
      </c>
      <c r="T59" s="531">
        <v>40</v>
      </c>
      <c r="U59" s="529">
        <v>70.56</v>
      </c>
      <c r="V59" s="530">
        <v>116271.18315077895</v>
      </c>
      <c r="W59" s="491"/>
      <c r="X59" s="532">
        <v>0</v>
      </c>
      <c r="Y59" s="530">
        <v>0</v>
      </c>
      <c r="Z59" s="529">
        <v>276</v>
      </c>
      <c r="AA59" s="532">
        <v>432.82740000000001</v>
      </c>
      <c r="AB59" s="530">
        <v>713228</v>
      </c>
      <c r="AC59" s="490"/>
      <c r="AD59" s="490"/>
      <c r="AE59" s="490"/>
      <c r="AF59" s="490"/>
      <c r="AG59" s="490"/>
      <c r="AH59" s="490"/>
      <c r="AI59" s="533"/>
      <c r="AJ59" s="530">
        <v>0</v>
      </c>
      <c r="AK59" s="530">
        <v>0</v>
      </c>
      <c r="AL59" s="530">
        <v>5601.97</v>
      </c>
      <c r="AM59" s="534"/>
      <c r="AN59" s="530">
        <v>0</v>
      </c>
      <c r="AO59" s="535">
        <v>52.6</v>
      </c>
      <c r="AP59" s="530">
        <v>2023.7880622745745</v>
      </c>
      <c r="AQ59" s="536">
        <v>2</v>
      </c>
      <c r="AR59" s="530">
        <v>22680.611130037629</v>
      </c>
      <c r="AS59" s="490"/>
      <c r="AT59" s="536">
        <v>30</v>
      </c>
      <c r="AU59" s="536">
        <v>10</v>
      </c>
      <c r="AV59" s="537">
        <v>18.333333333333332</v>
      </c>
      <c r="AW59" s="538">
        <v>11011.875420409518</v>
      </c>
      <c r="AX59" s="539"/>
      <c r="AY59" s="535">
        <v>0</v>
      </c>
      <c r="AZ59" s="540"/>
      <c r="BA59" s="499"/>
      <c r="BB59" s="528">
        <v>10</v>
      </c>
      <c r="BC59" s="528">
        <v>7617.3095944609295</v>
      </c>
      <c r="BD59" s="528">
        <v>20</v>
      </c>
      <c r="BE59" s="538">
        <v>6535.6788848021042</v>
      </c>
      <c r="BF59" s="535">
        <v>271</v>
      </c>
      <c r="BG59" s="535">
        <v>98</v>
      </c>
      <c r="BH59" s="535">
        <v>269</v>
      </c>
      <c r="BI59" s="535">
        <v>94</v>
      </c>
      <c r="BJ59" s="536">
        <v>276</v>
      </c>
      <c r="BK59" s="536">
        <v>100</v>
      </c>
      <c r="BL59" s="541">
        <v>272</v>
      </c>
      <c r="BM59" s="541">
        <v>97.33</v>
      </c>
      <c r="BN59" s="542">
        <v>35.78</v>
      </c>
      <c r="BO59" s="529">
        <v>98.75</v>
      </c>
      <c r="BP59" s="528">
        <v>145628.1470743095</v>
      </c>
      <c r="BQ59" s="536">
        <v>23</v>
      </c>
      <c r="BR59" s="530">
        <v>4622.34</v>
      </c>
      <c r="BS59" s="536">
        <v>32</v>
      </c>
      <c r="BT59" s="530">
        <v>6466.7283248402873</v>
      </c>
      <c r="BU59" s="530">
        <v>653</v>
      </c>
      <c r="BV59" s="530">
        <v>148480.07462469029</v>
      </c>
      <c r="BW59" s="536">
        <v>8</v>
      </c>
      <c r="BX59" s="530">
        <v>6848.9393980209397</v>
      </c>
      <c r="BY59" s="500"/>
      <c r="BZ59" s="282"/>
      <c r="CA59" s="282"/>
      <c r="CB59" s="490"/>
      <c r="CC59" s="490"/>
      <c r="CD59" s="490"/>
      <c r="CE59" s="282"/>
      <c r="CF59" s="490"/>
      <c r="CG59" s="543">
        <v>276</v>
      </c>
      <c r="CH59" s="532" t="e">
        <v>#DIV/0!</v>
      </c>
      <c r="CI59" s="532" t="e">
        <v>#DIV/0!</v>
      </c>
      <c r="CJ59" s="544"/>
      <c r="CK59" s="490"/>
      <c r="CL59" s="545">
        <v>1447.98</v>
      </c>
      <c r="CM59" s="546">
        <v>3</v>
      </c>
      <c r="CN59" s="532">
        <v>4343.9399999999996</v>
      </c>
      <c r="CO59" s="530">
        <v>6217.66</v>
      </c>
      <c r="CP59" s="490"/>
      <c r="CQ59" s="490"/>
      <c r="CR59" s="490"/>
      <c r="CS59" s="490"/>
      <c r="CT59" s="490"/>
      <c r="CU59" s="490"/>
      <c r="CV59" s="490"/>
      <c r="CW59" s="490"/>
      <c r="CX59" s="490"/>
      <c r="CY59" s="547"/>
      <c r="CZ59" s="530">
        <v>0</v>
      </c>
      <c r="DA59" s="506">
        <v>12251.5</v>
      </c>
      <c r="DB59" s="548"/>
      <c r="DC59" s="537">
        <v>0</v>
      </c>
      <c r="DD59" s="530">
        <v>0</v>
      </c>
      <c r="DE59" s="490"/>
      <c r="DF59" s="529">
        <v>1</v>
      </c>
      <c r="DG59" s="549">
        <v>70073.495851086889</v>
      </c>
      <c r="DH59" s="550"/>
      <c r="DI59" s="530">
        <v>0</v>
      </c>
      <c r="DJ59" s="551"/>
      <c r="DK59" s="552"/>
      <c r="DL59" s="282"/>
      <c r="DM59" s="490"/>
      <c r="DN59" s="509"/>
      <c r="DO59" s="553">
        <v>0</v>
      </c>
      <c r="DP59" s="530">
        <v>0</v>
      </c>
      <c r="DQ59" s="282"/>
      <c r="DR59" s="510"/>
      <c r="DS59" s="282"/>
      <c r="DT59" s="541">
        <v>0</v>
      </c>
      <c r="DU59" s="541">
        <v>0</v>
      </c>
      <c r="DV59" s="490"/>
      <c r="DW59" s="490"/>
      <c r="DX59" s="511"/>
      <c r="DY59" s="512">
        <v>0</v>
      </c>
      <c r="DZ59" s="513">
        <v>1169288.1183649327</v>
      </c>
      <c r="EA59" s="513">
        <v>0</v>
      </c>
      <c r="EB59" s="514">
        <v>9010</v>
      </c>
      <c r="EC59" s="514">
        <v>0</v>
      </c>
      <c r="ED59" s="514">
        <v>0</v>
      </c>
      <c r="EE59" s="494"/>
      <c r="EF59" s="513">
        <v>1178298.1183649327</v>
      </c>
      <c r="EG59" s="513">
        <v>1166046.6183649327</v>
      </c>
      <c r="EH59" s="515">
        <v>276</v>
      </c>
      <c r="EI59" s="516">
        <v>11576.51952878112</v>
      </c>
      <c r="EJ59" s="517"/>
      <c r="EL59" s="518"/>
      <c r="EM59" s="518">
        <v>1178298.1183649327</v>
      </c>
      <c r="EN59" s="518">
        <v>0</v>
      </c>
      <c r="EO59" s="518">
        <v>0</v>
      </c>
      <c r="EP59" s="558">
        <v>0</v>
      </c>
      <c r="EQ59" s="518">
        <v>-11011.875420409518</v>
      </c>
      <c r="ER59" s="518">
        <v>0</v>
      </c>
      <c r="ES59" s="518">
        <v>-9010</v>
      </c>
      <c r="ET59" s="518">
        <v>0</v>
      </c>
      <c r="EU59" s="518">
        <v>0</v>
      </c>
      <c r="EV59" s="518">
        <v>0</v>
      </c>
      <c r="EW59" s="518">
        <v>0</v>
      </c>
      <c r="EX59" s="518">
        <v>-22680.611130037629</v>
      </c>
      <c r="EY59" s="758">
        <v>0</v>
      </c>
      <c r="EZ59" s="518">
        <v>1135595.6318144856</v>
      </c>
      <c r="FB59" s="518">
        <v>0</v>
      </c>
      <c r="FC59" s="518">
        <v>-11011.875420409517</v>
      </c>
      <c r="FF59" s="518">
        <v>1026424.8106914817</v>
      </c>
      <c r="FI59" s="488">
        <v>4114.4769268640785</v>
      </c>
      <c r="FK59" s="760">
        <v>276</v>
      </c>
      <c r="FL59" s="760">
        <v>0</v>
      </c>
      <c r="FM59" s="488">
        <v>276</v>
      </c>
    </row>
    <row r="60" spans="1:169" s="488" customFormat="1" x14ac:dyDescent="0.2">
      <c r="A60" s="557" t="s">
        <v>44</v>
      </c>
      <c r="B60" s="557" t="s">
        <v>848</v>
      </c>
      <c r="C60" s="557">
        <v>2420</v>
      </c>
      <c r="D60" s="488" t="s">
        <v>169</v>
      </c>
      <c r="E60" s="490"/>
      <c r="F60" s="490"/>
      <c r="G60" s="490"/>
      <c r="H60" s="490"/>
      <c r="I60" s="490"/>
      <c r="J60" s="490"/>
      <c r="K60" s="490"/>
      <c r="L60" s="490"/>
      <c r="M60" s="490"/>
      <c r="N60" s="528">
        <v>197</v>
      </c>
      <c r="O60" s="529">
        <v>307.16239999999999</v>
      </c>
      <c r="P60" s="530">
        <v>506152.71637518168</v>
      </c>
      <c r="Q60" s="528">
        <v>133</v>
      </c>
      <c r="R60" s="529">
        <v>197.77100000000002</v>
      </c>
      <c r="S60" s="530">
        <v>325893.82317053154</v>
      </c>
      <c r="T60" s="531">
        <v>60</v>
      </c>
      <c r="U60" s="529">
        <v>105.84</v>
      </c>
      <c r="V60" s="530">
        <v>174406.77472616843</v>
      </c>
      <c r="W60" s="491"/>
      <c r="X60" s="532">
        <v>0</v>
      </c>
      <c r="Y60" s="530">
        <v>0</v>
      </c>
      <c r="Z60" s="529">
        <v>390</v>
      </c>
      <c r="AA60" s="532">
        <v>610.77340000000004</v>
      </c>
      <c r="AB60" s="530">
        <v>1006454</v>
      </c>
      <c r="AC60" s="490"/>
      <c r="AD60" s="490"/>
      <c r="AE60" s="490"/>
      <c r="AF60" s="490"/>
      <c r="AG60" s="490"/>
      <c r="AH60" s="490"/>
      <c r="AI60" s="533"/>
      <c r="AJ60" s="530">
        <v>0</v>
      </c>
      <c r="AK60" s="530">
        <v>0</v>
      </c>
      <c r="AL60" s="530">
        <v>7915.83</v>
      </c>
      <c r="AM60" s="534"/>
      <c r="AN60" s="530">
        <v>0</v>
      </c>
      <c r="AO60" s="535">
        <v>74</v>
      </c>
      <c r="AP60" s="530">
        <v>2847.1543081429372</v>
      </c>
      <c r="AQ60" s="536">
        <v>2</v>
      </c>
      <c r="AR60" s="530">
        <v>22680.611130037629</v>
      </c>
      <c r="AS60" s="490"/>
      <c r="AT60" s="536">
        <v>75</v>
      </c>
      <c r="AU60" s="536">
        <v>22.5</v>
      </c>
      <c r="AV60" s="537">
        <v>44.375</v>
      </c>
      <c r="AW60" s="538">
        <v>26653.743915309406</v>
      </c>
      <c r="AX60" s="539"/>
      <c r="AY60" s="535">
        <v>0</v>
      </c>
      <c r="AZ60" s="540"/>
      <c r="BA60" s="499"/>
      <c r="BB60" s="528">
        <v>61</v>
      </c>
      <c r="BC60" s="528">
        <v>46465.588526211672</v>
      </c>
      <c r="BD60" s="528">
        <v>79</v>
      </c>
      <c r="BE60" s="538">
        <v>25815.931594968311</v>
      </c>
      <c r="BF60" s="535">
        <v>338</v>
      </c>
      <c r="BG60" s="535">
        <v>211</v>
      </c>
      <c r="BH60" s="535">
        <v>338</v>
      </c>
      <c r="BI60" s="535">
        <v>196</v>
      </c>
      <c r="BJ60" s="536">
        <v>390</v>
      </c>
      <c r="BK60" s="536">
        <v>207</v>
      </c>
      <c r="BL60" s="541">
        <v>355.33</v>
      </c>
      <c r="BM60" s="541">
        <v>204.67</v>
      </c>
      <c r="BN60" s="542">
        <v>57.6</v>
      </c>
      <c r="BO60" s="529">
        <v>224.64</v>
      </c>
      <c r="BP60" s="528">
        <v>331280.07046858617</v>
      </c>
      <c r="BQ60" s="536">
        <v>107</v>
      </c>
      <c r="BR60" s="530">
        <v>21503.94</v>
      </c>
      <c r="BS60" s="536">
        <v>82</v>
      </c>
      <c r="BT60" s="530">
        <v>16570.991332403235</v>
      </c>
      <c r="BU60" s="530">
        <v>1145</v>
      </c>
      <c r="BV60" s="530">
        <v>260351.73881358403</v>
      </c>
      <c r="BW60" s="536">
        <v>16</v>
      </c>
      <c r="BX60" s="530">
        <v>13697.878796041879</v>
      </c>
      <c r="BY60" s="500"/>
      <c r="BZ60" s="282"/>
      <c r="CA60" s="282"/>
      <c r="CB60" s="490"/>
      <c r="CC60" s="490"/>
      <c r="CD60" s="490"/>
      <c r="CE60" s="282"/>
      <c r="CF60" s="490"/>
      <c r="CG60" s="543">
        <v>390</v>
      </c>
      <c r="CH60" s="532" t="e">
        <v>#DIV/0!</v>
      </c>
      <c r="CI60" s="532" t="e">
        <v>#DIV/0!</v>
      </c>
      <c r="CJ60" s="544"/>
      <c r="CK60" s="490"/>
      <c r="CL60" s="545">
        <v>3582.7590111410468</v>
      </c>
      <c r="CM60" s="546">
        <v>3</v>
      </c>
      <c r="CN60" s="532">
        <v>10748.277033423141</v>
      </c>
      <c r="CO60" s="530">
        <v>15384.46</v>
      </c>
      <c r="CP60" s="490"/>
      <c r="CQ60" s="490"/>
      <c r="CR60" s="490"/>
      <c r="CS60" s="490"/>
      <c r="CT60" s="490"/>
      <c r="CU60" s="490"/>
      <c r="CV60" s="490"/>
      <c r="CW60" s="490"/>
      <c r="CX60" s="490"/>
      <c r="CY60" s="547"/>
      <c r="CZ60" s="530">
        <v>0</v>
      </c>
      <c r="DA60" s="506">
        <v>21068</v>
      </c>
      <c r="DB60" s="548"/>
      <c r="DC60" s="537">
        <v>0</v>
      </c>
      <c r="DD60" s="530">
        <v>0</v>
      </c>
      <c r="DE60" s="490"/>
      <c r="DF60" s="529">
        <v>1</v>
      </c>
      <c r="DG60" s="549">
        <v>70073.495851086889</v>
      </c>
      <c r="DH60" s="550"/>
      <c r="DI60" s="530">
        <v>0</v>
      </c>
      <c r="DJ60" s="551"/>
      <c r="DK60" s="552"/>
      <c r="DL60" s="282"/>
      <c r="DM60" s="490"/>
      <c r="DN60" s="509"/>
      <c r="DO60" s="553">
        <v>0</v>
      </c>
      <c r="DP60" s="530">
        <v>0</v>
      </c>
      <c r="DQ60" s="282"/>
      <c r="DR60" s="510"/>
      <c r="DS60" s="282"/>
      <c r="DT60" s="541">
        <v>0</v>
      </c>
      <c r="DU60" s="541">
        <v>0</v>
      </c>
      <c r="DV60" s="490"/>
      <c r="DW60" s="490"/>
      <c r="DX60" s="511">
        <v>177549.95480000001</v>
      </c>
      <c r="DY60" s="512">
        <v>0</v>
      </c>
      <c r="DZ60" s="513">
        <v>2066313.3895363719</v>
      </c>
      <c r="EA60" s="513">
        <v>0</v>
      </c>
      <c r="EB60" s="514">
        <v>20961</v>
      </c>
      <c r="EC60" s="514">
        <v>0</v>
      </c>
      <c r="ED60" s="514">
        <v>-240.72777940231026</v>
      </c>
      <c r="EE60" s="494"/>
      <c r="EF60" s="513">
        <v>2087033.6617569695</v>
      </c>
      <c r="EG60" s="513">
        <v>2065965.6617569695</v>
      </c>
      <c r="EH60" s="515">
        <v>390</v>
      </c>
      <c r="EI60" s="516">
        <v>16358.125421103758</v>
      </c>
      <c r="EJ60" s="517"/>
      <c r="EL60" s="518"/>
      <c r="EM60" s="518">
        <v>2087033.6617569695</v>
      </c>
      <c r="EN60" s="518">
        <v>-177549.95480000001</v>
      </c>
      <c r="EO60" s="518">
        <v>240.72777940231026</v>
      </c>
      <c r="EP60" s="518">
        <v>0</v>
      </c>
      <c r="EQ60" s="518">
        <v>-26653.743915309406</v>
      </c>
      <c r="ER60" s="518">
        <v>0</v>
      </c>
      <c r="ES60" s="518">
        <v>-20961</v>
      </c>
      <c r="ET60" s="518">
        <v>0</v>
      </c>
      <c r="EU60" s="518">
        <v>0</v>
      </c>
      <c r="EV60" s="518">
        <v>0</v>
      </c>
      <c r="EW60" s="518">
        <v>0</v>
      </c>
      <c r="EX60" s="518">
        <v>-22680.611130037629</v>
      </c>
      <c r="EY60" s="518">
        <v>0</v>
      </c>
      <c r="EZ60" s="518">
        <v>1839429.079691025</v>
      </c>
      <c r="FB60" s="518">
        <v>177309.2270205977</v>
      </c>
      <c r="FC60" s="518">
        <v>-26653.743915309402</v>
      </c>
      <c r="FF60" s="518">
        <v>1679753.2166044237</v>
      </c>
      <c r="FI60" s="488">
        <v>4827.8978469580707</v>
      </c>
      <c r="FK60" s="488">
        <v>381</v>
      </c>
      <c r="FL60" s="488">
        <v>0</v>
      </c>
      <c r="FM60" s="488">
        <v>381</v>
      </c>
    </row>
    <row r="61" spans="1:169" s="488" customFormat="1" x14ac:dyDescent="0.2">
      <c r="A61" s="489" t="s">
        <v>315</v>
      </c>
      <c r="B61" s="489" t="s">
        <v>849</v>
      </c>
      <c r="C61" s="489">
        <v>2473</v>
      </c>
      <c r="D61" s="488" t="s">
        <v>169</v>
      </c>
      <c r="E61" s="490"/>
      <c r="F61" s="490"/>
      <c r="G61" s="490"/>
      <c r="H61" s="490"/>
      <c r="I61" s="490"/>
      <c r="J61" s="490"/>
      <c r="K61" s="490"/>
      <c r="L61" s="490"/>
      <c r="M61" s="490"/>
      <c r="N61" s="528">
        <v>0</v>
      </c>
      <c r="O61" s="529">
        <v>0</v>
      </c>
      <c r="P61" s="530">
        <v>0</v>
      </c>
      <c r="Q61" s="528">
        <v>176</v>
      </c>
      <c r="R61" s="529">
        <v>261.71199999999999</v>
      </c>
      <c r="S61" s="530">
        <v>431257.99156401161</v>
      </c>
      <c r="T61" s="531">
        <v>90</v>
      </c>
      <c r="U61" s="529">
        <v>158.76</v>
      </c>
      <c r="V61" s="530">
        <v>261610.16208925261</v>
      </c>
      <c r="W61" s="491"/>
      <c r="X61" s="532">
        <v>0</v>
      </c>
      <c r="Y61" s="530">
        <v>0</v>
      </c>
      <c r="Z61" s="555">
        <v>266</v>
      </c>
      <c r="AA61" s="556">
        <v>420.47199999999998</v>
      </c>
      <c r="AB61" s="530">
        <v>692868</v>
      </c>
      <c r="AC61" s="490"/>
      <c r="AD61" s="490"/>
      <c r="AE61" s="490"/>
      <c r="AF61" s="490"/>
      <c r="AG61" s="490"/>
      <c r="AH61" s="490"/>
      <c r="AI61" s="533"/>
      <c r="AJ61" s="530">
        <v>0</v>
      </c>
      <c r="AK61" s="530">
        <v>0</v>
      </c>
      <c r="AL61" s="530">
        <v>5399</v>
      </c>
      <c r="AM61" s="534"/>
      <c r="AN61" s="530">
        <v>0</v>
      </c>
      <c r="AO61" s="535">
        <v>66.349999999999994</v>
      </c>
      <c r="AP61" s="530">
        <v>2552.8201127741063</v>
      </c>
      <c r="AQ61" s="536">
        <v>3</v>
      </c>
      <c r="AR61" s="530">
        <v>34020.916695056439</v>
      </c>
      <c r="AS61" s="490"/>
      <c r="AT61" s="536">
        <v>49.5</v>
      </c>
      <c r="AU61" s="536">
        <v>10</v>
      </c>
      <c r="AV61" s="537">
        <v>26.458333333333332</v>
      </c>
      <c r="AW61" s="538">
        <v>15892.138390818283</v>
      </c>
      <c r="AX61" s="539"/>
      <c r="AY61" s="535">
        <v>0</v>
      </c>
      <c r="AZ61" s="540"/>
      <c r="BA61" s="499"/>
      <c r="BB61" s="528">
        <v>4</v>
      </c>
      <c r="BC61" s="528">
        <v>3046.9238377843717</v>
      </c>
      <c r="BD61" s="528">
        <v>11</v>
      </c>
      <c r="BE61" s="538">
        <v>3594.6233866411571</v>
      </c>
      <c r="BF61" s="535">
        <v>242</v>
      </c>
      <c r="BG61" s="535">
        <v>72</v>
      </c>
      <c r="BH61" s="535">
        <v>267</v>
      </c>
      <c r="BI61" s="535">
        <v>79</v>
      </c>
      <c r="BJ61" s="536">
        <v>266</v>
      </c>
      <c r="BK61" s="536">
        <v>67</v>
      </c>
      <c r="BL61" s="541">
        <v>258.33</v>
      </c>
      <c r="BM61" s="541">
        <v>72.67</v>
      </c>
      <c r="BN61" s="542">
        <v>28.13</v>
      </c>
      <c r="BO61" s="529">
        <v>74.83</v>
      </c>
      <c r="BP61" s="528">
        <v>110352.95438552485</v>
      </c>
      <c r="BQ61" s="536">
        <v>6</v>
      </c>
      <c r="BR61" s="530">
        <v>1205.83</v>
      </c>
      <c r="BS61" s="536">
        <v>28</v>
      </c>
      <c r="BT61" s="530">
        <v>5658.3872842352512</v>
      </c>
      <c r="BU61" s="530">
        <v>454</v>
      </c>
      <c r="BV61" s="530">
        <v>103231.16980032065</v>
      </c>
      <c r="BW61" s="536">
        <v>11</v>
      </c>
      <c r="BX61" s="530">
        <v>9417.2916722787922</v>
      </c>
      <c r="BY61" s="500"/>
      <c r="BZ61" s="282"/>
      <c r="CA61" s="282"/>
      <c r="CB61" s="490"/>
      <c r="CC61" s="490"/>
      <c r="CD61" s="490"/>
      <c r="CE61" s="282"/>
      <c r="CF61" s="490"/>
      <c r="CG61" s="543">
        <v>266</v>
      </c>
      <c r="CH61" s="532" t="e">
        <v>#DIV/0!</v>
      </c>
      <c r="CI61" s="532" t="e">
        <v>#DIV/0!</v>
      </c>
      <c r="CJ61" s="544"/>
      <c r="CK61" s="490"/>
      <c r="CL61" s="545">
        <v>1802.1524859813082</v>
      </c>
      <c r="CM61" s="546">
        <v>3</v>
      </c>
      <c r="CN61" s="532">
        <v>5406.457457943925</v>
      </c>
      <c r="CO61" s="530">
        <v>7738.49</v>
      </c>
      <c r="CP61" s="490"/>
      <c r="CQ61" s="490"/>
      <c r="CR61" s="490"/>
      <c r="CS61" s="490"/>
      <c r="CT61" s="490"/>
      <c r="CU61" s="490"/>
      <c r="CV61" s="490"/>
      <c r="CW61" s="490"/>
      <c r="CX61" s="490"/>
      <c r="CY61" s="547"/>
      <c r="CZ61" s="530">
        <v>0</v>
      </c>
      <c r="DA61" s="506">
        <v>14198</v>
      </c>
      <c r="DB61" s="548"/>
      <c r="DC61" s="537">
        <v>0</v>
      </c>
      <c r="DD61" s="530">
        <v>0</v>
      </c>
      <c r="DE61" s="490"/>
      <c r="DF61" s="529">
        <v>1</v>
      </c>
      <c r="DG61" s="549">
        <v>70073.495851086889</v>
      </c>
      <c r="DH61" s="550"/>
      <c r="DI61" s="530">
        <v>0</v>
      </c>
      <c r="DJ61" s="551"/>
      <c r="DK61" s="552"/>
      <c r="DL61" s="282"/>
      <c r="DM61" s="490"/>
      <c r="DN61" s="509"/>
      <c r="DO61" s="553">
        <v>0</v>
      </c>
      <c r="DP61" s="530">
        <v>0</v>
      </c>
      <c r="DQ61" s="282"/>
      <c r="DR61" s="510"/>
      <c r="DS61" s="282"/>
      <c r="DT61" s="541">
        <v>0</v>
      </c>
      <c r="DU61" s="541">
        <v>0</v>
      </c>
      <c r="DV61" s="490"/>
      <c r="DW61" s="490"/>
      <c r="DX61" s="511">
        <v>166428.1366</v>
      </c>
      <c r="DY61" s="512">
        <v>0</v>
      </c>
      <c r="DZ61" s="513">
        <v>1245678.178016521</v>
      </c>
      <c r="EA61" s="513">
        <v>0</v>
      </c>
      <c r="EB61" s="514">
        <v>22261</v>
      </c>
      <c r="EC61" s="514">
        <v>0</v>
      </c>
      <c r="ED61" s="514">
        <v>-10364.731599999999</v>
      </c>
      <c r="EE61" s="494"/>
      <c r="EF61" s="513">
        <v>1257574.446416521</v>
      </c>
      <c r="EG61" s="513">
        <v>1243376.446416521</v>
      </c>
      <c r="EH61" s="515">
        <v>266</v>
      </c>
      <c r="EI61" s="516">
        <v>11157.080415419487</v>
      </c>
      <c r="EJ61" s="517"/>
      <c r="EL61" s="518"/>
      <c r="EM61" s="518">
        <v>1257574.446416521</v>
      </c>
      <c r="EN61" s="518">
        <v>-166428.1366</v>
      </c>
      <c r="EO61" s="518">
        <v>10364.731599999999</v>
      </c>
      <c r="EP61" s="518">
        <v>0</v>
      </c>
      <c r="EQ61" s="518">
        <v>-15892.138390818283</v>
      </c>
      <c r="ER61" s="518">
        <v>0</v>
      </c>
      <c r="ES61" s="518">
        <v>-22261</v>
      </c>
      <c r="ET61" s="518">
        <v>0</v>
      </c>
      <c r="EU61" s="518">
        <v>0</v>
      </c>
      <c r="EV61" s="518">
        <v>0</v>
      </c>
      <c r="EW61" s="518">
        <v>0</v>
      </c>
      <c r="EX61" s="518">
        <v>-34020.916695056439</v>
      </c>
      <c r="EY61" s="518">
        <v>0</v>
      </c>
      <c r="EZ61" s="518">
        <v>1029336.9863306461</v>
      </c>
      <c r="FB61" s="518">
        <v>156063.405</v>
      </c>
      <c r="FC61" s="518">
        <v>-15892.138390818283</v>
      </c>
      <c r="FF61" s="518">
        <v>920122.16969590855</v>
      </c>
      <c r="FI61" s="488">
        <v>3869.6879185362636</v>
      </c>
      <c r="FK61" s="488">
        <v>266</v>
      </c>
      <c r="FL61" s="488">
        <v>0</v>
      </c>
      <c r="FM61" s="488">
        <v>266</v>
      </c>
    </row>
    <row r="62" spans="1:169" s="488" customFormat="1" x14ac:dyDescent="0.2">
      <c r="A62" s="489" t="s">
        <v>43</v>
      </c>
      <c r="B62" s="489" t="s">
        <v>850</v>
      </c>
      <c r="C62" s="489">
        <v>2471</v>
      </c>
      <c r="D62" s="488" t="s">
        <v>169</v>
      </c>
      <c r="E62" s="490"/>
      <c r="F62" s="490"/>
      <c r="G62" s="490"/>
      <c r="H62" s="490"/>
      <c r="I62" s="490"/>
      <c r="J62" s="490"/>
      <c r="K62" s="490"/>
      <c r="L62" s="490"/>
      <c r="M62" s="490"/>
      <c r="N62" s="528">
        <v>344</v>
      </c>
      <c r="O62" s="529">
        <v>536.36479999999995</v>
      </c>
      <c r="P62" s="530">
        <v>883840.27630996192</v>
      </c>
      <c r="Q62" s="528">
        <v>0</v>
      </c>
      <c r="R62" s="529">
        <v>0</v>
      </c>
      <c r="S62" s="530">
        <v>0</v>
      </c>
      <c r="T62" s="531">
        <v>0</v>
      </c>
      <c r="U62" s="529">
        <v>0</v>
      </c>
      <c r="V62" s="530">
        <v>0</v>
      </c>
      <c r="W62" s="491"/>
      <c r="X62" s="532">
        <v>0</v>
      </c>
      <c r="Y62" s="530">
        <v>0</v>
      </c>
      <c r="Z62" s="529">
        <v>344</v>
      </c>
      <c r="AA62" s="532">
        <v>536.36479999999995</v>
      </c>
      <c r="AB62" s="530">
        <v>883841</v>
      </c>
      <c r="AC62" s="490"/>
      <c r="AD62" s="490"/>
      <c r="AE62" s="490"/>
      <c r="AF62" s="490"/>
      <c r="AG62" s="490"/>
      <c r="AH62" s="490"/>
      <c r="AI62" s="533"/>
      <c r="AJ62" s="530">
        <v>0</v>
      </c>
      <c r="AK62" s="530">
        <v>0</v>
      </c>
      <c r="AL62" s="530">
        <v>6982.17</v>
      </c>
      <c r="AM62" s="534"/>
      <c r="AN62" s="530">
        <v>0</v>
      </c>
      <c r="AO62" s="535">
        <v>78.674999999999997</v>
      </c>
      <c r="AP62" s="530">
        <v>3027.0252053127783</v>
      </c>
      <c r="AQ62" s="536">
        <v>0</v>
      </c>
      <c r="AR62" s="530">
        <v>0</v>
      </c>
      <c r="AS62" s="490"/>
      <c r="AT62" s="536">
        <v>25</v>
      </c>
      <c r="AU62" s="536">
        <v>10</v>
      </c>
      <c r="AV62" s="537">
        <v>16.25</v>
      </c>
      <c r="AW62" s="538">
        <v>9760.525940817528</v>
      </c>
      <c r="AX62" s="539"/>
      <c r="AY62" s="535">
        <v>0</v>
      </c>
      <c r="AZ62" s="540"/>
      <c r="BA62" s="499"/>
      <c r="BB62" s="528">
        <v>11</v>
      </c>
      <c r="BC62" s="528">
        <v>8379.0405539070216</v>
      </c>
      <c r="BD62" s="528">
        <v>18</v>
      </c>
      <c r="BE62" s="538">
        <v>5882.1109963218933</v>
      </c>
      <c r="BF62" s="535">
        <v>341</v>
      </c>
      <c r="BG62" s="535">
        <v>94</v>
      </c>
      <c r="BH62" s="535">
        <v>339</v>
      </c>
      <c r="BI62" s="535">
        <v>91</v>
      </c>
      <c r="BJ62" s="536">
        <v>344</v>
      </c>
      <c r="BK62" s="536">
        <v>85</v>
      </c>
      <c r="BL62" s="541">
        <v>341.33</v>
      </c>
      <c r="BM62" s="541">
        <v>90</v>
      </c>
      <c r="BN62" s="542">
        <v>26.37</v>
      </c>
      <c r="BO62" s="529">
        <v>90.71</v>
      </c>
      <c r="BP62" s="528">
        <v>133771.43515048723</v>
      </c>
      <c r="BQ62" s="536">
        <v>11</v>
      </c>
      <c r="BR62" s="530">
        <v>2210.69</v>
      </c>
      <c r="BS62" s="536">
        <v>29</v>
      </c>
      <c r="BT62" s="530">
        <v>5860.47254438651</v>
      </c>
      <c r="BU62" s="530">
        <v>519</v>
      </c>
      <c r="BV62" s="530">
        <v>118010.9628334062</v>
      </c>
      <c r="BW62" s="536">
        <v>15</v>
      </c>
      <c r="BX62" s="530">
        <v>12841.761371289262</v>
      </c>
      <c r="BY62" s="500"/>
      <c r="BZ62" s="282"/>
      <c r="CA62" s="282"/>
      <c r="CB62" s="490"/>
      <c r="CC62" s="490"/>
      <c r="CD62" s="490"/>
      <c r="CE62" s="282"/>
      <c r="CF62" s="490"/>
      <c r="CG62" s="543">
        <v>344</v>
      </c>
      <c r="CH62" s="532" t="e">
        <v>#DIV/0!</v>
      </c>
      <c r="CI62" s="532" t="e">
        <v>#DIV/0!</v>
      </c>
      <c r="CJ62" s="544"/>
      <c r="CK62" s="490"/>
      <c r="CL62" s="545">
        <v>1824.76</v>
      </c>
      <c r="CM62" s="546">
        <v>4</v>
      </c>
      <c r="CN62" s="532">
        <v>7299.04</v>
      </c>
      <c r="CO62" s="530">
        <v>10447.42</v>
      </c>
      <c r="CP62" s="490"/>
      <c r="CQ62" s="490"/>
      <c r="CR62" s="490"/>
      <c r="CS62" s="490"/>
      <c r="CT62" s="490"/>
      <c r="CU62" s="490"/>
      <c r="CV62" s="490"/>
      <c r="CW62" s="490"/>
      <c r="CX62" s="490"/>
      <c r="CY62" s="547"/>
      <c r="CZ62" s="530">
        <v>0</v>
      </c>
      <c r="DA62" s="506">
        <v>14198</v>
      </c>
      <c r="DB62" s="548"/>
      <c r="DC62" s="537">
        <v>0</v>
      </c>
      <c r="DD62" s="530">
        <v>0</v>
      </c>
      <c r="DE62" s="490"/>
      <c r="DF62" s="529">
        <v>1</v>
      </c>
      <c r="DG62" s="549">
        <v>70073.495851086889</v>
      </c>
      <c r="DH62" s="550"/>
      <c r="DI62" s="530">
        <v>0</v>
      </c>
      <c r="DJ62" s="551"/>
      <c r="DK62" s="552"/>
      <c r="DL62" s="282"/>
      <c r="DM62" s="490"/>
      <c r="DN62" s="509"/>
      <c r="DO62" s="553">
        <v>0</v>
      </c>
      <c r="DP62" s="530">
        <v>0</v>
      </c>
      <c r="DQ62" s="282"/>
      <c r="DR62" s="510"/>
      <c r="DS62" s="282"/>
      <c r="DT62" s="541">
        <v>0</v>
      </c>
      <c r="DU62" s="541">
        <v>0</v>
      </c>
      <c r="DV62" s="490"/>
      <c r="DW62" s="490"/>
      <c r="DX62" s="511"/>
      <c r="DY62" s="512">
        <v>0</v>
      </c>
      <c r="DZ62" s="513">
        <v>1285286.1104470149</v>
      </c>
      <c r="EA62" s="513">
        <v>0</v>
      </c>
      <c r="EB62" s="514">
        <v>2377</v>
      </c>
      <c r="EC62" s="514">
        <v>0</v>
      </c>
      <c r="ED62" s="514">
        <v>0</v>
      </c>
      <c r="EE62" s="494"/>
      <c r="EF62" s="513">
        <v>1287663.1104470149</v>
      </c>
      <c r="EG62" s="513">
        <v>1273465.1104470149</v>
      </c>
      <c r="EH62" s="515">
        <v>344</v>
      </c>
      <c r="EI62" s="516">
        <v>14428.705499640237</v>
      </c>
      <c r="EJ62" s="517"/>
      <c r="EL62" s="518"/>
      <c r="EM62" s="518">
        <v>1287663.1104470149</v>
      </c>
      <c r="EN62" s="518">
        <v>0</v>
      </c>
      <c r="EO62" s="518">
        <v>0</v>
      </c>
      <c r="EP62" s="518">
        <v>0</v>
      </c>
      <c r="EQ62" s="518">
        <v>-9760.525940817528</v>
      </c>
      <c r="ER62" s="518">
        <v>0</v>
      </c>
      <c r="ES62" s="518">
        <v>-2377</v>
      </c>
      <c r="ET62" s="518">
        <v>0</v>
      </c>
      <c r="EU62" s="518">
        <v>0</v>
      </c>
      <c r="EV62" s="518">
        <v>0</v>
      </c>
      <c r="EW62" s="518">
        <v>0</v>
      </c>
      <c r="EX62" s="518">
        <v>0</v>
      </c>
      <c r="EY62" s="518">
        <v>0</v>
      </c>
      <c r="EZ62" s="518">
        <v>1275525.5845061974</v>
      </c>
      <c r="FB62" s="518">
        <v>0</v>
      </c>
      <c r="FC62" s="518">
        <v>-9760.525940817528</v>
      </c>
      <c r="FF62" s="518">
        <v>1159054.8899090895</v>
      </c>
      <c r="FI62" s="488">
        <v>3740.5442360885554</v>
      </c>
      <c r="FK62" s="488">
        <v>341</v>
      </c>
      <c r="FL62" s="488">
        <v>0</v>
      </c>
      <c r="FM62" s="488">
        <v>341</v>
      </c>
    </row>
    <row r="63" spans="1:169" s="488" customFormat="1" x14ac:dyDescent="0.2">
      <c r="A63" s="489" t="s">
        <v>45</v>
      </c>
      <c r="B63" s="489" t="s">
        <v>851</v>
      </c>
      <c r="C63" s="489">
        <v>2003</v>
      </c>
      <c r="D63" s="488" t="s">
        <v>169</v>
      </c>
      <c r="E63" s="490"/>
      <c r="F63" s="490"/>
      <c r="G63" s="490"/>
      <c r="H63" s="490"/>
      <c r="I63" s="490"/>
      <c r="J63" s="490"/>
      <c r="K63" s="490"/>
      <c r="L63" s="490"/>
      <c r="M63" s="490"/>
      <c r="N63" s="528">
        <v>124</v>
      </c>
      <c r="O63" s="529">
        <v>193.3408</v>
      </c>
      <c r="P63" s="530">
        <v>318593.58797219559</v>
      </c>
      <c r="Q63" s="528">
        <v>60</v>
      </c>
      <c r="R63" s="529">
        <v>89.22</v>
      </c>
      <c r="S63" s="530">
        <v>147019.7698513676</v>
      </c>
      <c r="T63" s="531">
        <v>30</v>
      </c>
      <c r="U63" s="529">
        <v>52.92</v>
      </c>
      <c r="V63" s="530">
        <v>87203.387363084214</v>
      </c>
      <c r="W63" s="491"/>
      <c r="X63" s="532">
        <v>0</v>
      </c>
      <c r="Y63" s="530">
        <v>0</v>
      </c>
      <c r="Z63" s="529">
        <v>214</v>
      </c>
      <c r="AA63" s="532">
        <v>335.48079999999999</v>
      </c>
      <c r="AB63" s="530">
        <v>552816</v>
      </c>
      <c r="AC63" s="490"/>
      <c r="AD63" s="490"/>
      <c r="AE63" s="490"/>
      <c r="AF63" s="490"/>
      <c r="AG63" s="490"/>
      <c r="AH63" s="490"/>
      <c r="AI63" s="533"/>
      <c r="AJ63" s="530">
        <v>0</v>
      </c>
      <c r="AK63" s="530">
        <v>0</v>
      </c>
      <c r="AL63" s="530">
        <v>4343.5600000000004</v>
      </c>
      <c r="AM63" s="534"/>
      <c r="AN63" s="530">
        <v>0</v>
      </c>
      <c r="AO63" s="535">
        <v>34.774999999999999</v>
      </c>
      <c r="AP63" s="530">
        <v>1337.9701495360898</v>
      </c>
      <c r="AQ63" s="536">
        <v>1</v>
      </c>
      <c r="AR63" s="530">
        <v>11340.305565018814</v>
      </c>
      <c r="AS63" s="490"/>
      <c r="AT63" s="536">
        <v>32.5</v>
      </c>
      <c r="AU63" s="536">
        <v>0</v>
      </c>
      <c r="AV63" s="537">
        <v>13.541666666666666</v>
      </c>
      <c r="AW63" s="538">
        <v>8133.7716173479403</v>
      </c>
      <c r="AX63" s="539"/>
      <c r="AY63" s="535">
        <v>0</v>
      </c>
      <c r="AZ63" s="540"/>
      <c r="BA63" s="499"/>
      <c r="BB63" s="528">
        <v>2</v>
      </c>
      <c r="BC63" s="528">
        <v>1523.4619188921858</v>
      </c>
      <c r="BD63" s="528">
        <v>5</v>
      </c>
      <c r="BE63" s="538">
        <v>1633.9197212005261</v>
      </c>
      <c r="BF63" s="535">
        <v>213</v>
      </c>
      <c r="BG63" s="535">
        <v>9</v>
      </c>
      <c r="BH63" s="535">
        <v>212</v>
      </c>
      <c r="BI63" s="535">
        <v>7</v>
      </c>
      <c r="BJ63" s="536">
        <v>214</v>
      </c>
      <c r="BK63" s="536">
        <v>12</v>
      </c>
      <c r="BL63" s="541">
        <v>213</v>
      </c>
      <c r="BM63" s="541">
        <v>9.33</v>
      </c>
      <c r="BN63" s="542">
        <v>4.38</v>
      </c>
      <c r="BO63" s="529">
        <v>9.3699999999999992</v>
      </c>
      <c r="BP63" s="528">
        <v>13818.083423658531</v>
      </c>
      <c r="BQ63" s="536">
        <v>4</v>
      </c>
      <c r="BR63" s="530">
        <v>803.89</v>
      </c>
      <c r="BS63" s="536">
        <v>3</v>
      </c>
      <c r="BT63" s="530">
        <v>606.25578045377688</v>
      </c>
      <c r="BU63" s="530">
        <v>7</v>
      </c>
      <c r="BV63" s="530">
        <v>1591.6700189476753</v>
      </c>
      <c r="BW63" s="536">
        <v>1</v>
      </c>
      <c r="BX63" s="530">
        <v>856.11742475261747</v>
      </c>
      <c r="BY63" s="500"/>
      <c r="BZ63" s="282"/>
      <c r="CA63" s="282"/>
      <c r="CB63" s="490"/>
      <c r="CC63" s="490"/>
      <c r="CD63" s="490"/>
      <c r="CE63" s="282"/>
      <c r="CF63" s="490"/>
      <c r="CG63" s="543">
        <v>214</v>
      </c>
      <c r="CH63" s="532" t="e">
        <v>#DIV/0!</v>
      </c>
      <c r="CI63" s="532" t="e">
        <v>#DIV/0!</v>
      </c>
      <c r="CJ63" s="544"/>
      <c r="CK63" s="490"/>
      <c r="CL63" s="545">
        <v>1346.3846655791192</v>
      </c>
      <c r="CM63" s="546">
        <v>1</v>
      </c>
      <c r="CN63" s="532">
        <v>1346.3846655791192</v>
      </c>
      <c r="CO63" s="530">
        <v>1927.14</v>
      </c>
      <c r="CP63" s="490"/>
      <c r="CQ63" s="490"/>
      <c r="CR63" s="490"/>
      <c r="CS63" s="490"/>
      <c r="CT63" s="490"/>
      <c r="CU63" s="490"/>
      <c r="CV63" s="490"/>
      <c r="CW63" s="490"/>
      <c r="CX63" s="490"/>
      <c r="CY63" s="547"/>
      <c r="CZ63" s="530">
        <v>0</v>
      </c>
      <c r="DA63" s="506">
        <v>26335</v>
      </c>
      <c r="DB63" s="548"/>
      <c r="DC63" s="537">
        <v>0</v>
      </c>
      <c r="DD63" s="530">
        <v>0</v>
      </c>
      <c r="DE63" s="490"/>
      <c r="DF63" s="529">
        <v>1</v>
      </c>
      <c r="DG63" s="549">
        <v>70073.495851086889</v>
      </c>
      <c r="DH63" s="550"/>
      <c r="DI63" s="530">
        <v>0</v>
      </c>
      <c r="DJ63" s="551"/>
      <c r="DK63" s="552"/>
      <c r="DL63" s="282"/>
      <c r="DM63" s="490"/>
      <c r="DN63" s="509"/>
      <c r="DO63" s="553">
        <v>0</v>
      </c>
      <c r="DP63" s="530">
        <v>0</v>
      </c>
      <c r="DQ63" s="282"/>
      <c r="DR63" s="510"/>
      <c r="DS63" s="282"/>
      <c r="DT63" s="541">
        <v>0</v>
      </c>
      <c r="DU63" s="541">
        <v>0</v>
      </c>
      <c r="DV63" s="490"/>
      <c r="DW63" s="490"/>
      <c r="DX63" s="511">
        <v>104214.26</v>
      </c>
      <c r="DY63" s="512">
        <v>0</v>
      </c>
      <c r="DZ63" s="513">
        <v>801354.90147089504</v>
      </c>
      <c r="EA63" s="513">
        <v>4006.0548974060221</v>
      </c>
      <c r="EB63" s="514">
        <v>7258</v>
      </c>
      <c r="EC63" s="514">
        <v>0</v>
      </c>
      <c r="ED63" s="514">
        <v>-7194.4679999999935</v>
      </c>
      <c r="EE63" s="494"/>
      <c r="EF63" s="513">
        <v>805424.48836830107</v>
      </c>
      <c r="EG63" s="513">
        <v>779089.48836830107</v>
      </c>
      <c r="EH63" s="515">
        <v>214</v>
      </c>
      <c r="EI63" s="516">
        <v>8975.9970259389847</v>
      </c>
      <c r="EJ63" s="517"/>
      <c r="EL63" s="518"/>
      <c r="EM63" s="518">
        <v>805424.48836830107</v>
      </c>
      <c r="EN63" s="518">
        <v>-104214.26</v>
      </c>
      <c r="EO63" s="518">
        <v>7194.4679999999935</v>
      </c>
      <c r="EP63" s="518">
        <v>-509.74271125231598</v>
      </c>
      <c r="EQ63" s="518">
        <v>-8133.7716173479403</v>
      </c>
      <c r="ER63" s="518">
        <v>0</v>
      </c>
      <c r="ES63" s="518">
        <v>-7258</v>
      </c>
      <c r="ET63" s="518">
        <v>0</v>
      </c>
      <c r="EU63" s="518">
        <v>0</v>
      </c>
      <c r="EV63" s="518">
        <v>0</v>
      </c>
      <c r="EW63" s="518">
        <v>0</v>
      </c>
      <c r="EX63" s="518">
        <v>-11340.305565018814</v>
      </c>
      <c r="EY63" s="518">
        <v>0</v>
      </c>
      <c r="EZ63" s="518">
        <v>681162.87647468201</v>
      </c>
      <c r="FB63" s="518">
        <v>97529.534711252316</v>
      </c>
      <c r="FC63" s="518">
        <v>-8133.7716173479403</v>
      </c>
      <c r="FF63" s="518">
        <v>571409.22278625099</v>
      </c>
      <c r="FI63" s="488">
        <v>3213.0324362013303</v>
      </c>
      <c r="FK63" s="488">
        <v>212</v>
      </c>
      <c r="FL63" s="488">
        <v>0</v>
      </c>
      <c r="FM63" s="488">
        <v>212</v>
      </c>
    </row>
    <row r="64" spans="1:169" s="488" customFormat="1" x14ac:dyDescent="0.2">
      <c r="A64" s="557" t="s">
        <v>46</v>
      </c>
      <c r="B64" s="489" t="s">
        <v>852</v>
      </c>
      <c r="C64" s="489">
        <v>2423</v>
      </c>
      <c r="D64" s="488" t="s">
        <v>169</v>
      </c>
      <c r="E64" s="490"/>
      <c r="F64" s="490"/>
      <c r="G64" s="490"/>
      <c r="H64" s="490"/>
      <c r="I64" s="490"/>
      <c r="J64" s="490"/>
      <c r="K64" s="490"/>
      <c r="L64" s="490"/>
      <c r="M64" s="490"/>
      <c r="N64" s="528">
        <v>343</v>
      </c>
      <c r="O64" s="529">
        <v>534.80560000000003</v>
      </c>
      <c r="P64" s="530">
        <v>881270.973181154</v>
      </c>
      <c r="Q64" s="528">
        <v>0</v>
      </c>
      <c r="R64" s="529">
        <v>0</v>
      </c>
      <c r="S64" s="530">
        <v>0</v>
      </c>
      <c r="T64" s="531">
        <v>0</v>
      </c>
      <c r="U64" s="529">
        <v>0</v>
      </c>
      <c r="V64" s="530">
        <v>0</v>
      </c>
      <c r="W64" s="491"/>
      <c r="X64" s="532">
        <v>0</v>
      </c>
      <c r="Y64" s="530">
        <v>0</v>
      </c>
      <c r="Z64" s="529">
        <v>343</v>
      </c>
      <c r="AA64" s="532">
        <v>534.80560000000003</v>
      </c>
      <c r="AB64" s="530">
        <v>881271</v>
      </c>
      <c r="AC64" s="490"/>
      <c r="AD64" s="490"/>
      <c r="AE64" s="490"/>
      <c r="AF64" s="490"/>
      <c r="AG64" s="490"/>
      <c r="AH64" s="490"/>
      <c r="AI64" s="533"/>
      <c r="AJ64" s="530">
        <v>0</v>
      </c>
      <c r="AK64" s="530">
        <v>0</v>
      </c>
      <c r="AL64" s="530">
        <v>6961.87</v>
      </c>
      <c r="AM64" s="534"/>
      <c r="AN64" s="530">
        <v>0</v>
      </c>
      <c r="AO64" s="535">
        <v>97.6</v>
      </c>
      <c r="AP64" s="530">
        <v>3755.1656820912253</v>
      </c>
      <c r="AQ64" s="536">
        <v>0</v>
      </c>
      <c r="AR64" s="530">
        <v>0</v>
      </c>
      <c r="AS64" s="490"/>
      <c r="AT64" s="536">
        <v>10</v>
      </c>
      <c r="AU64" s="536">
        <v>0</v>
      </c>
      <c r="AV64" s="537">
        <v>4.166666666666667</v>
      </c>
      <c r="AW64" s="538">
        <v>2502.698959183982</v>
      </c>
      <c r="AX64" s="539"/>
      <c r="AY64" s="535">
        <v>0</v>
      </c>
      <c r="AZ64" s="540"/>
      <c r="BA64" s="499"/>
      <c r="BB64" s="528">
        <v>62</v>
      </c>
      <c r="BC64" s="528">
        <v>47227.319485657761</v>
      </c>
      <c r="BD64" s="528">
        <v>50</v>
      </c>
      <c r="BE64" s="538">
        <v>16339.19721200526</v>
      </c>
      <c r="BF64" s="535">
        <v>320</v>
      </c>
      <c r="BG64" s="535">
        <v>94</v>
      </c>
      <c r="BH64" s="535">
        <v>302</v>
      </c>
      <c r="BI64" s="535">
        <v>95</v>
      </c>
      <c r="BJ64" s="536">
        <v>343</v>
      </c>
      <c r="BK64" s="536">
        <v>134</v>
      </c>
      <c r="BL64" s="541">
        <v>321.67</v>
      </c>
      <c r="BM64" s="541">
        <v>107.67</v>
      </c>
      <c r="BN64" s="542">
        <v>33.47</v>
      </c>
      <c r="BO64" s="529">
        <v>114.8</v>
      </c>
      <c r="BP64" s="528">
        <v>169297.32945955169</v>
      </c>
      <c r="BQ64" s="536">
        <v>273</v>
      </c>
      <c r="BR64" s="530">
        <v>54865.2</v>
      </c>
      <c r="BS64" s="536">
        <v>208</v>
      </c>
      <c r="BT64" s="530">
        <v>42033.734111461868</v>
      </c>
      <c r="BU64" s="530">
        <v>997</v>
      </c>
      <c r="BV64" s="530">
        <v>226699.28698440461</v>
      </c>
      <c r="BW64" s="536">
        <v>17</v>
      </c>
      <c r="BX64" s="530">
        <v>14553.996220794497</v>
      </c>
      <c r="BY64" s="500"/>
      <c r="BZ64" s="282"/>
      <c r="CA64" s="282"/>
      <c r="CB64" s="490"/>
      <c r="CC64" s="490"/>
      <c r="CD64" s="490"/>
      <c r="CE64" s="282"/>
      <c r="CF64" s="490"/>
      <c r="CG64" s="543">
        <v>343</v>
      </c>
      <c r="CH64" s="532" t="e">
        <v>#DIV/0!</v>
      </c>
      <c r="CI64" s="532" t="e">
        <v>#DIV/0!</v>
      </c>
      <c r="CJ64" s="544"/>
      <c r="CK64" s="490"/>
      <c r="CL64" s="545">
        <v>2379.6999999999998</v>
      </c>
      <c r="CM64" s="546">
        <v>4</v>
      </c>
      <c r="CN64" s="532">
        <v>9518.7999999999993</v>
      </c>
      <c r="CO64" s="530">
        <v>13624.66</v>
      </c>
      <c r="CP64" s="490"/>
      <c r="CQ64" s="490"/>
      <c r="CR64" s="490"/>
      <c r="CS64" s="490"/>
      <c r="CT64" s="490"/>
      <c r="CU64" s="490"/>
      <c r="CV64" s="490"/>
      <c r="CW64" s="490"/>
      <c r="CX64" s="490"/>
      <c r="CY64" s="547"/>
      <c r="CZ64" s="530">
        <v>0</v>
      </c>
      <c r="DA64" s="506">
        <v>11564.5</v>
      </c>
      <c r="DB64" s="548"/>
      <c r="DC64" s="537">
        <v>0</v>
      </c>
      <c r="DD64" s="530">
        <v>0</v>
      </c>
      <c r="DE64" s="490"/>
      <c r="DF64" s="529">
        <v>1</v>
      </c>
      <c r="DG64" s="549">
        <v>70073.495851086889</v>
      </c>
      <c r="DH64" s="550"/>
      <c r="DI64" s="530">
        <v>0</v>
      </c>
      <c r="DJ64" s="551"/>
      <c r="DK64" s="552"/>
      <c r="DL64" s="282"/>
      <c r="DM64" s="490"/>
      <c r="DN64" s="509"/>
      <c r="DO64" s="553">
        <v>0</v>
      </c>
      <c r="DP64" s="530">
        <v>0</v>
      </c>
      <c r="DQ64" s="282"/>
      <c r="DR64" s="510"/>
      <c r="DS64" s="282"/>
      <c r="DT64" s="541">
        <v>0</v>
      </c>
      <c r="DU64" s="541">
        <v>0</v>
      </c>
      <c r="DV64" s="490"/>
      <c r="DW64" s="490"/>
      <c r="DX64" s="511"/>
      <c r="DY64" s="512">
        <v>0</v>
      </c>
      <c r="DZ64" s="513">
        <v>1560769.4539662376</v>
      </c>
      <c r="EA64" s="513">
        <v>0</v>
      </c>
      <c r="EB64" s="514">
        <v>-5256</v>
      </c>
      <c r="EC64" s="514">
        <v>0</v>
      </c>
      <c r="ED64" s="514">
        <v>0</v>
      </c>
      <c r="EE64" s="494"/>
      <c r="EF64" s="513">
        <v>1555513.4539662376</v>
      </c>
      <c r="EG64" s="513">
        <v>1543948.9539662376</v>
      </c>
      <c r="EH64" s="515">
        <v>343</v>
      </c>
      <c r="EI64" s="516">
        <v>14386.761588304074</v>
      </c>
      <c r="EJ64" s="517"/>
      <c r="EL64" s="518"/>
      <c r="EM64" s="518">
        <v>1555513.4539662376</v>
      </c>
      <c r="EN64" s="518">
        <v>0</v>
      </c>
      <c r="EO64" s="518">
        <v>0</v>
      </c>
      <c r="EP64" s="518">
        <v>0</v>
      </c>
      <c r="EQ64" s="518">
        <v>-2502.698959183982</v>
      </c>
      <c r="ER64" s="518">
        <v>0</v>
      </c>
      <c r="ES64" s="518">
        <v>5256</v>
      </c>
      <c r="ET64" s="518">
        <v>0</v>
      </c>
      <c r="EU64" s="518">
        <v>0</v>
      </c>
      <c r="EV64" s="518">
        <v>0</v>
      </c>
      <c r="EW64" s="518">
        <v>0</v>
      </c>
      <c r="EX64" s="518">
        <v>0</v>
      </c>
      <c r="EY64" s="518">
        <v>0</v>
      </c>
      <c r="EZ64" s="518">
        <v>1558266.7550070537</v>
      </c>
      <c r="FB64" s="518">
        <v>0</v>
      </c>
      <c r="FC64" s="518">
        <v>-2502.698959183982</v>
      </c>
      <c r="FF64" s="518">
        <v>1393914.1321504083</v>
      </c>
      <c r="FI64" s="488">
        <v>4962.6329777294704</v>
      </c>
      <c r="FK64" s="488">
        <v>314</v>
      </c>
      <c r="FL64" s="488">
        <v>0</v>
      </c>
      <c r="FM64" s="488">
        <v>314</v>
      </c>
    </row>
    <row r="65" spans="1:169" s="488" customFormat="1" x14ac:dyDescent="0.2">
      <c r="A65" s="489" t="s">
        <v>47</v>
      </c>
      <c r="B65" s="489" t="s">
        <v>853</v>
      </c>
      <c r="C65" s="489">
        <v>2424</v>
      </c>
      <c r="D65" s="488" t="s">
        <v>169</v>
      </c>
      <c r="E65" s="490"/>
      <c r="F65" s="490"/>
      <c r="G65" s="490"/>
      <c r="H65" s="490"/>
      <c r="I65" s="490"/>
      <c r="J65" s="490"/>
      <c r="K65" s="490"/>
      <c r="L65" s="490"/>
      <c r="M65" s="490"/>
      <c r="N65" s="528">
        <v>0</v>
      </c>
      <c r="O65" s="529">
        <v>0</v>
      </c>
      <c r="P65" s="530">
        <v>0</v>
      </c>
      <c r="Q65" s="528">
        <v>180</v>
      </c>
      <c r="R65" s="529">
        <v>267.66000000000003</v>
      </c>
      <c r="S65" s="530">
        <v>441059.30955410283</v>
      </c>
      <c r="T65" s="531">
        <v>88</v>
      </c>
      <c r="U65" s="529">
        <v>155.232</v>
      </c>
      <c r="V65" s="530">
        <v>255796.60293171369</v>
      </c>
      <c r="W65" s="491"/>
      <c r="X65" s="532">
        <v>0</v>
      </c>
      <c r="Y65" s="530">
        <v>0</v>
      </c>
      <c r="Z65" s="529">
        <v>268</v>
      </c>
      <c r="AA65" s="532">
        <v>422.89200000000005</v>
      </c>
      <c r="AB65" s="530">
        <v>696857</v>
      </c>
      <c r="AC65" s="490"/>
      <c r="AD65" s="490"/>
      <c r="AE65" s="490"/>
      <c r="AF65" s="490"/>
      <c r="AG65" s="490"/>
      <c r="AH65" s="490"/>
      <c r="AI65" s="533"/>
      <c r="AJ65" s="530">
        <v>0</v>
      </c>
      <c r="AK65" s="530">
        <v>0</v>
      </c>
      <c r="AL65" s="530">
        <v>5439.6</v>
      </c>
      <c r="AM65" s="534"/>
      <c r="AN65" s="530">
        <v>0</v>
      </c>
      <c r="AO65" s="535">
        <v>74.3</v>
      </c>
      <c r="AP65" s="530">
        <v>2858.6968256083815</v>
      </c>
      <c r="AQ65" s="536">
        <v>3</v>
      </c>
      <c r="AR65" s="530">
        <v>34020.916695056439</v>
      </c>
      <c r="AS65" s="490"/>
      <c r="AT65" s="536">
        <v>17.5</v>
      </c>
      <c r="AU65" s="536">
        <v>0</v>
      </c>
      <c r="AV65" s="537">
        <v>7.291666666666667</v>
      </c>
      <c r="AW65" s="538">
        <v>4379.7231785719678</v>
      </c>
      <c r="AX65" s="539"/>
      <c r="AY65" s="535">
        <v>0</v>
      </c>
      <c r="AZ65" s="540"/>
      <c r="BA65" s="499"/>
      <c r="BB65" s="528">
        <v>27</v>
      </c>
      <c r="BC65" s="528">
        <v>20566.735905044508</v>
      </c>
      <c r="BD65" s="528">
        <v>30</v>
      </c>
      <c r="BE65" s="538">
        <v>9803.5183272031554</v>
      </c>
      <c r="BF65" s="535">
        <v>260</v>
      </c>
      <c r="BG65" s="535">
        <v>83</v>
      </c>
      <c r="BH65" s="535">
        <v>268</v>
      </c>
      <c r="BI65" s="535">
        <v>80</v>
      </c>
      <c r="BJ65" s="536">
        <v>268</v>
      </c>
      <c r="BK65" s="536">
        <v>88</v>
      </c>
      <c r="BL65" s="541">
        <v>265.33</v>
      </c>
      <c r="BM65" s="541">
        <v>83.67</v>
      </c>
      <c r="BN65" s="542">
        <v>31.53</v>
      </c>
      <c r="BO65" s="529">
        <v>84.5</v>
      </c>
      <c r="BP65" s="528">
        <v>124613.45243320661</v>
      </c>
      <c r="BQ65" s="536">
        <v>182</v>
      </c>
      <c r="BR65" s="530">
        <v>36576.800000000003</v>
      </c>
      <c r="BS65" s="536">
        <v>165</v>
      </c>
      <c r="BT65" s="530">
        <v>33344.06792495773</v>
      </c>
      <c r="BU65" s="530">
        <v>784</v>
      </c>
      <c r="BV65" s="530">
        <v>178267.04212213962</v>
      </c>
      <c r="BW65" s="536">
        <v>19</v>
      </c>
      <c r="BX65" s="530">
        <v>16266.231070299731</v>
      </c>
      <c r="BY65" s="500"/>
      <c r="BZ65" s="282"/>
      <c r="CA65" s="282"/>
      <c r="CB65" s="490"/>
      <c r="CC65" s="490"/>
      <c r="CD65" s="490"/>
      <c r="CE65" s="282"/>
      <c r="CF65" s="490"/>
      <c r="CG65" s="543">
        <v>268</v>
      </c>
      <c r="CH65" s="532" t="e">
        <v>#DIV/0!</v>
      </c>
      <c r="CI65" s="532" t="e">
        <v>#DIV/0!</v>
      </c>
      <c r="CJ65" s="544"/>
      <c r="CK65" s="490"/>
      <c r="CL65" s="545">
        <v>1191.18</v>
      </c>
      <c r="CM65" s="546">
        <v>4</v>
      </c>
      <c r="CN65" s="532">
        <v>4764.72</v>
      </c>
      <c r="CO65" s="530">
        <v>6819.94</v>
      </c>
      <c r="CP65" s="490"/>
      <c r="CQ65" s="490"/>
      <c r="CR65" s="490"/>
      <c r="CS65" s="490"/>
      <c r="CT65" s="490"/>
      <c r="CU65" s="490"/>
      <c r="CV65" s="490"/>
      <c r="CW65" s="490"/>
      <c r="CX65" s="490"/>
      <c r="CY65" s="547"/>
      <c r="CZ65" s="530">
        <v>0</v>
      </c>
      <c r="DA65" s="506">
        <v>11564.5</v>
      </c>
      <c r="DB65" s="548"/>
      <c r="DC65" s="537">
        <v>0</v>
      </c>
      <c r="DD65" s="530">
        <v>0</v>
      </c>
      <c r="DE65" s="490"/>
      <c r="DF65" s="529">
        <v>1</v>
      </c>
      <c r="DG65" s="549">
        <v>70073.495851086889</v>
      </c>
      <c r="DH65" s="550"/>
      <c r="DI65" s="530">
        <v>0</v>
      </c>
      <c r="DJ65" s="551"/>
      <c r="DK65" s="552"/>
      <c r="DL65" s="282"/>
      <c r="DM65" s="490"/>
      <c r="DN65" s="509"/>
      <c r="DO65" s="553">
        <v>0</v>
      </c>
      <c r="DP65" s="530">
        <v>0</v>
      </c>
      <c r="DQ65" s="282"/>
      <c r="DR65" s="510"/>
      <c r="DS65" s="282"/>
      <c r="DT65" s="541">
        <v>0</v>
      </c>
      <c r="DU65" s="541">
        <v>0</v>
      </c>
      <c r="DV65" s="490"/>
      <c r="DW65" s="490"/>
      <c r="DX65" s="511"/>
      <c r="DY65" s="512">
        <v>0</v>
      </c>
      <c r="DZ65" s="513">
        <v>1251451.720333175</v>
      </c>
      <c r="EA65" s="513">
        <v>160884.04143549176</v>
      </c>
      <c r="EB65" s="514">
        <v>6132</v>
      </c>
      <c r="EC65" s="514">
        <v>0</v>
      </c>
      <c r="ED65" s="514">
        <v>0</v>
      </c>
      <c r="EE65" s="494"/>
      <c r="EF65" s="513">
        <v>1418467.7617686668</v>
      </c>
      <c r="EG65" s="513">
        <v>1406903.2617686668</v>
      </c>
      <c r="EH65" s="515">
        <v>268</v>
      </c>
      <c r="EI65" s="516">
        <v>11240.968238091813</v>
      </c>
      <c r="EJ65" s="517"/>
      <c r="EL65" s="518"/>
      <c r="EM65" s="518">
        <v>1418467.7617686668</v>
      </c>
      <c r="EN65" s="518">
        <v>0</v>
      </c>
      <c r="EO65" s="518">
        <v>0</v>
      </c>
      <c r="EP65" s="518">
        <v>0</v>
      </c>
      <c r="EQ65" s="518">
        <v>-4379.7231785719678</v>
      </c>
      <c r="ER65" s="518">
        <v>0</v>
      </c>
      <c r="ES65" s="518">
        <v>-6132</v>
      </c>
      <c r="ET65" s="518">
        <v>0</v>
      </c>
      <c r="EU65" s="518">
        <v>0</v>
      </c>
      <c r="EV65" s="518">
        <v>0</v>
      </c>
      <c r="EW65" s="518">
        <v>0</v>
      </c>
      <c r="EX65" s="518">
        <v>-34020.916695056439</v>
      </c>
      <c r="EY65" s="518">
        <v>0</v>
      </c>
      <c r="EZ65" s="518">
        <v>1373935.1218950383</v>
      </c>
      <c r="FB65" s="518">
        <v>0</v>
      </c>
      <c r="FC65" s="518">
        <v>-4379.7231785719669</v>
      </c>
      <c r="FF65" s="518">
        <v>1073147.2615306904</v>
      </c>
      <c r="FI65" s="488">
        <v>5204.299704147872</v>
      </c>
      <c r="FK65" s="488">
        <v>264</v>
      </c>
      <c r="FL65" s="488">
        <v>0</v>
      </c>
      <c r="FM65" s="488">
        <v>264</v>
      </c>
    </row>
    <row r="66" spans="1:169" s="488" customFormat="1" x14ac:dyDescent="0.2">
      <c r="A66" s="489" t="s">
        <v>48</v>
      </c>
      <c r="B66" s="489" t="s">
        <v>854</v>
      </c>
      <c r="C66" s="489">
        <v>2439</v>
      </c>
      <c r="D66" s="488" t="s">
        <v>169</v>
      </c>
      <c r="E66" s="490"/>
      <c r="F66" s="490"/>
      <c r="G66" s="490"/>
      <c r="H66" s="490"/>
      <c r="I66" s="490"/>
      <c r="J66" s="490"/>
      <c r="K66" s="490"/>
      <c r="L66" s="490"/>
      <c r="M66" s="490"/>
      <c r="N66" s="528">
        <v>0</v>
      </c>
      <c r="O66" s="529">
        <v>0</v>
      </c>
      <c r="P66" s="530">
        <v>0</v>
      </c>
      <c r="Q66" s="528">
        <v>155</v>
      </c>
      <c r="R66" s="529">
        <v>230.48500000000001</v>
      </c>
      <c r="S66" s="530">
        <v>379801.07211603294</v>
      </c>
      <c r="T66" s="531">
        <v>78</v>
      </c>
      <c r="U66" s="529">
        <v>137.59200000000001</v>
      </c>
      <c r="V66" s="530">
        <v>226728.80714401897</v>
      </c>
      <c r="W66" s="491"/>
      <c r="X66" s="532">
        <v>0</v>
      </c>
      <c r="Y66" s="530">
        <v>0</v>
      </c>
      <c r="Z66" s="529">
        <v>233</v>
      </c>
      <c r="AA66" s="532">
        <v>368.077</v>
      </c>
      <c r="AB66" s="530">
        <v>606530</v>
      </c>
      <c r="AC66" s="490"/>
      <c r="AD66" s="490"/>
      <c r="AE66" s="490"/>
      <c r="AF66" s="490"/>
      <c r="AG66" s="490"/>
      <c r="AH66" s="490"/>
      <c r="AI66" s="533"/>
      <c r="AJ66" s="530">
        <v>0</v>
      </c>
      <c r="AK66" s="530">
        <v>0</v>
      </c>
      <c r="AL66" s="530">
        <v>4729.2</v>
      </c>
      <c r="AM66" s="534"/>
      <c r="AN66" s="530">
        <v>0</v>
      </c>
      <c r="AO66" s="535">
        <v>84.8</v>
      </c>
      <c r="AP66" s="530">
        <v>3262.6849368989338</v>
      </c>
      <c r="AQ66" s="536">
        <v>3</v>
      </c>
      <c r="AR66" s="530">
        <v>34020.916695056439</v>
      </c>
      <c r="AS66" s="490"/>
      <c r="AT66" s="536">
        <v>0</v>
      </c>
      <c r="AU66" s="536">
        <v>0</v>
      </c>
      <c r="AV66" s="537">
        <v>0</v>
      </c>
      <c r="AW66" s="538">
        <v>0</v>
      </c>
      <c r="AX66" s="539"/>
      <c r="AY66" s="535">
        <v>0</v>
      </c>
      <c r="AZ66" s="540"/>
      <c r="BA66" s="499"/>
      <c r="BB66" s="528">
        <v>1</v>
      </c>
      <c r="BC66" s="528">
        <v>761.73095944609292</v>
      </c>
      <c r="BD66" s="528">
        <v>6</v>
      </c>
      <c r="BE66" s="538">
        <v>1960.7036654406311</v>
      </c>
      <c r="BF66" s="535">
        <v>210</v>
      </c>
      <c r="BG66" s="535">
        <v>10</v>
      </c>
      <c r="BH66" s="535">
        <v>232</v>
      </c>
      <c r="BI66" s="535">
        <v>12</v>
      </c>
      <c r="BJ66" s="536">
        <v>233</v>
      </c>
      <c r="BK66" s="536">
        <v>10</v>
      </c>
      <c r="BL66" s="541">
        <v>225</v>
      </c>
      <c r="BM66" s="541">
        <v>10.67</v>
      </c>
      <c r="BN66" s="542">
        <v>4.74</v>
      </c>
      <c r="BO66" s="529">
        <v>11.04</v>
      </c>
      <c r="BP66" s="528">
        <v>16280.858164054447</v>
      </c>
      <c r="BQ66" s="536">
        <v>3</v>
      </c>
      <c r="BR66" s="530">
        <v>602.91</v>
      </c>
      <c r="BS66" s="536">
        <v>7</v>
      </c>
      <c r="BT66" s="530">
        <v>1414.5968210588128</v>
      </c>
      <c r="BU66" s="530">
        <v>14</v>
      </c>
      <c r="BV66" s="530">
        <v>3183.3400378953506</v>
      </c>
      <c r="BW66" s="536">
        <v>1</v>
      </c>
      <c r="BX66" s="530">
        <v>856.11742475261747</v>
      </c>
      <c r="BY66" s="500"/>
      <c r="BZ66" s="282"/>
      <c r="CA66" s="282"/>
      <c r="CB66" s="490"/>
      <c r="CC66" s="490"/>
      <c r="CD66" s="490"/>
      <c r="CE66" s="282"/>
      <c r="CF66" s="490"/>
      <c r="CG66" s="543">
        <v>233</v>
      </c>
      <c r="CH66" s="532" t="e">
        <v>#DIV/0!</v>
      </c>
      <c r="CI66" s="532" t="e">
        <v>#DIV/0!</v>
      </c>
      <c r="CJ66" s="544"/>
      <c r="CK66" s="490"/>
      <c r="CL66" s="545">
        <v>1092.69</v>
      </c>
      <c r="CM66" s="546">
        <v>2</v>
      </c>
      <c r="CN66" s="532">
        <v>2185.38</v>
      </c>
      <c r="CO66" s="530">
        <v>3128.03</v>
      </c>
      <c r="CP66" s="490"/>
      <c r="CQ66" s="490"/>
      <c r="CR66" s="490"/>
      <c r="CS66" s="490"/>
      <c r="CT66" s="490"/>
      <c r="CU66" s="490"/>
      <c r="CV66" s="490"/>
      <c r="CW66" s="490"/>
      <c r="CX66" s="490"/>
      <c r="CY66" s="547"/>
      <c r="CZ66" s="530">
        <v>0</v>
      </c>
      <c r="DA66" s="506">
        <v>7762.5</v>
      </c>
      <c r="DB66" s="548"/>
      <c r="DC66" s="537">
        <v>0</v>
      </c>
      <c r="DD66" s="530">
        <v>0</v>
      </c>
      <c r="DE66" s="490"/>
      <c r="DF66" s="529">
        <v>1</v>
      </c>
      <c r="DG66" s="549">
        <v>70073.495851086889</v>
      </c>
      <c r="DH66" s="550"/>
      <c r="DI66" s="530">
        <v>0</v>
      </c>
      <c r="DJ66" s="551"/>
      <c r="DK66" s="552"/>
      <c r="DL66" s="282"/>
      <c r="DM66" s="490"/>
      <c r="DN66" s="509"/>
      <c r="DO66" s="553">
        <v>0</v>
      </c>
      <c r="DP66" s="530">
        <v>0</v>
      </c>
      <c r="DQ66" s="282"/>
      <c r="DR66" s="510"/>
      <c r="DS66" s="282"/>
      <c r="DT66" s="541">
        <v>0</v>
      </c>
      <c r="DU66" s="541">
        <v>0</v>
      </c>
      <c r="DV66" s="490"/>
      <c r="DW66" s="490"/>
      <c r="DX66" s="511"/>
      <c r="DY66" s="512">
        <v>0</v>
      </c>
      <c r="DZ66" s="513">
        <v>754567.08455569018</v>
      </c>
      <c r="EA66" s="513">
        <v>0</v>
      </c>
      <c r="EB66" s="514">
        <v>0</v>
      </c>
      <c r="EC66" s="514">
        <v>0</v>
      </c>
      <c r="ED66" s="514">
        <v>0</v>
      </c>
      <c r="EE66" s="494"/>
      <c r="EF66" s="513">
        <v>754567.08455569018</v>
      </c>
      <c r="EG66" s="513">
        <v>746804.58455569018</v>
      </c>
      <c r="EH66" s="515">
        <v>233</v>
      </c>
      <c r="EI66" s="516">
        <v>9772.9313413260916</v>
      </c>
      <c r="EJ66" s="517"/>
      <c r="EL66" s="518"/>
      <c r="EM66" s="518">
        <v>754567.08455569018</v>
      </c>
      <c r="EN66" s="518">
        <v>0</v>
      </c>
      <c r="EO66" s="518">
        <v>0</v>
      </c>
      <c r="EP66" s="518">
        <v>0</v>
      </c>
      <c r="EQ66" s="518">
        <v>0</v>
      </c>
      <c r="ER66" s="518">
        <v>0</v>
      </c>
      <c r="ES66" s="518">
        <v>0</v>
      </c>
      <c r="ET66" s="518">
        <v>0</v>
      </c>
      <c r="EU66" s="518">
        <v>0</v>
      </c>
      <c r="EV66" s="518">
        <v>0</v>
      </c>
      <c r="EW66" s="518">
        <v>0</v>
      </c>
      <c r="EX66" s="518">
        <v>-34020.916695056439</v>
      </c>
      <c r="EY66" s="518">
        <v>0</v>
      </c>
      <c r="EZ66" s="518">
        <v>720546.16786063369</v>
      </c>
      <c r="FB66" s="518">
        <v>0</v>
      </c>
      <c r="FC66" s="518">
        <v>0</v>
      </c>
      <c r="FF66" s="518">
        <v>628214.95658614847</v>
      </c>
      <c r="FI66" s="488">
        <v>3079.2571276095455</v>
      </c>
      <c r="FK66" s="488">
        <v>234</v>
      </c>
      <c r="FL66" s="488">
        <v>0</v>
      </c>
      <c r="FM66" s="488">
        <v>234</v>
      </c>
    </row>
    <row r="67" spans="1:169" s="488" customFormat="1" x14ac:dyDescent="0.2">
      <c r="A67" s="489" t="s">
        <v>49</v>
      </c>
      <c r="B67" s="489" t="s">
        <v>855</v>
      </c>
      <c r="C67" s="489">
        <v>2440</v>
      </c>
      <c r="D67" s="488" t="s">
        <v>169</v>
      </c>
      <c r="E67" s="490"/>
      <c r="F67" s="490"/>
      <c r="G67" s="490"/>
      <c r="H67" s="490"/>
      <c r="I67" s="490"/>
      <c r="J67" s="490"/>
      <c r="K67" s="490"/>
      <c r="L67" s="490"/>
      <c r="M67" s="490"/>
      <c r="N67" s="528">
        <v>272</v>
      </c>
      <c r="O67" s="529">
        <v>424.10239999999999</v>
      </c>
      <c r="P67" s="530">
        <v>698850.45103578386</v>
      </c>
      <c r="Q67" s="528">
        <v>0</v>
      </c>
      <c r="R67" s="529">
        <v>0</v>
      </c>
      <c r="S67" s="530">
        <v>0</v>
      </c>
      <c r="T67" s="531">
        <v>0</v>
      </c>
      <c r="U67" s="529">
        <v>0</v>
      </c>
      <c r="V67" s="530">
        <v>0</v>
      </c>
      <c r="W67" s="491"/>
      <c r="X67" s="532">
        <v>0</v>
      </c>
      <c r="Y67" s="530">
        <v>0</v>
      </c>
      <c r="Z67" s="529">
        <v>272</v>
      </c>
      <c r="AA67" s="532">
        <v>424.10239999999999</v>
      </c>
      <c r="AB67" s="530">
        <v>698851</v>
      </c>
      <c r="AC67" s="490"/>
      <c r="AD67" s="490"/>
      <c r="AE67" s="490"/>
      <c r="AF67" s="490"/>
      <c r="AG67" s="490"/>
      <c r="AH67" s="490"/>
      <c r="AI67" s="533"/>
      <c r="AJ67" s="530">
        <v>0</v>
      </c>
      <c r="AK67" s="530">
        <v>0</v>
      </c>
      <c r="AL67" s="530">
        <v>5520.78</v>
      </c>
      <c r="AM67" s="534"/>
      <c r="AN67" s="530">
        <v>0</v>
      </c>
      <c r="AO67" s="535">
        <v>99.1</v>
      </c>
      <c r="AP67" s="530">
        <v>3812.878269418447</v>
      </c>
      <c r="AQ67" s="536">
        <v>0</v>
      </c>
      <c r="AR67" s="530">
        <v>0</v>
      </c>
      <c r="AS67" s="490"/>
      <c r="AT67" s="536">
        <v>15</v>
      </c>
      <c r="AU67" s="536">
        <v>15</v>
      </c>
      <c r="AV67" s="537">
        <v>15</v>
      </c>
      <c r="AW67" s="538">
        <v>9009.7162530623336</v>
      </c>
      <c r="AX67" s="539"/>
      <c r="AY67" s="535">
        <v>0</v>
      </c>
      <c r="AZ67" s="540"/>
      <c r="BA67" s="499"/>
      <c r="BB67" s="528">
        <v>3</v>
      </c>
      <c r="BC67" s="528">
        <v>2285.1928783382787</v>
      </c>
      <c r="BD67" s="528">
        <v>6</v>
      </c>
      <c r="BE67" s="538">
        <v>1960.7036654406311</v>
      </c>
      <c r="BF67" s="535">
        <v>284</v>
      </c>
      <c r="BG67" s="535">
        <v>22</v>
      </c>
      <c r="BH67" s="535">
        <v>275</v>
      </c>
      <c r="BI67" s="535">
        <v>20</v>
      </c>
      <c r="BJ67" s="536">
        <v>272</v>
      </c>
      <c r="BK67" s="536">
        <v>20</v>
      </c>
      <c r="BL67" s="541">
        <v>277</v>
      </c>
      <c r="BM67" s="541">
        <v>20.67</v>
      </c>
      <c r="BN67" s="542">
        <v>7.46</v>
      </c>
      <c r="BO67" s="529">
        <v>20.29</v>
      </c>
      <c r="BP67" s="528">
        <v>29921.975738103691</v>
      </c>
      <c r="BQ67" s="536">
        <v>5</v>
      </c>
      <c r="BR67" s="530">
        <v>1004.86</v>
      </c>
      <c r="BS67" s="536">
        <v>5</v>
      </c>
      <c r="BT67" s="530">
        <v>1010.4263007562949</v>
      </c>
      <c r="BU67" s="530">
        <v>23</v>
      </c>
      <c r="BV67" s="530">
        <v>5229.7729193995046</v>
      </c>
      <c r="BW67" s="536">
        <v>2</v>
      </c>
      <c r="BX67" s="530">
        <v>1712.2348495052349</v>
      </c>
      <c r="BY67" s="500"/>
      <c r="BZ67" s="282"/>
      <c r="CA67" s="282"/>
      <c r="CB67" s="490"/>
      <c r="CC67" s="490"/>
      <c r="CD67" s="490"/>
      <c r="CE67" s="282"/>
      <c r="CF67" s="490"/>
      <c r="CG67" s="543">
        <v>272</v>
      </c>
      <c r="CH67" s="532" t="e">
        <v>#DIV/0!</v>
      </c>
      <c r="CI67" s="532" t="e">
        <v>#DIV/0!</v>
      </c>
      <c r="CJ67" s="544"/>
      <c r="CK67" s="490"/>
      <c r="CL67" s="545">
        <v>2721.73</v>
      </c>
      <c r="CM67" s="546">
        <v>1</v>
      </c>
      <c r="CN67" s="532">
        <v>2721.73</v>
      </c>
      <c r="CO67" s="530">
        <v>3895.73</v>
      </c>
      <c r="CP67" s="490"/>
      <c r="CQ67" s="490"/>
      <c r="CR67" s="490"/>
      <c r="CS67" s="490"/>
      <c r="CT67" s="490"/>
      <c r="CU67" s="490"/>
      <c r="CV67" s="490"/>
      <c r="CW67" s="490"/>
      <c r="CX67" s="490"/>
      <c r="CY67" s="547"/>
      <c r="CZ67" s="530">
        <v>0</v>
      </c>
      <c r="DA67" s="506">
        <v>31831</v>
      </c>
      <c r="DB67" s="548"/>
      <c r="DC67" s="537">
        <v>0</v>
      </c>
      <c r="DD67" s="530">
        <v>0</v>
      </c>
      <c r="DE67" s="490"/>
      <c r="DF67" s="529">
        <v>1</v>
      </c>
      <c r="DG67" s="549">
        <v>70073.495851086889</v>
      </c>
      <c r="DH67" s="550"/>
      <c r="DI67" s="530">
        <v>0</v>
      </c>
      <c r="DJ67" s="551"/>
      <c r="DK67" s="552"/>
      <c r="DL67" s="282"/>
      <c r="DM67" s="490"/>
      <c r="DN67" s="509"/>
      <c r="DO67" s="553">
        <v>0</v>
      </c>
      <c r="DP67" s="530">
        <v>0</v>
      </c>
      <c r="DQ67" s="282"/>
      <c r="DR67" s="510"/>
      <c r="DS67" s="282"/>
      <c r="DT67" s="541">
        <v>0</v>
      </c>
      <c r="DU67" s="541">
        <v>0</v>
      </c>
      <c r="DV67" s="490"/>
      <c r="DW67" s="490"/>
      <c r="DX67" s="511"/>
      <c r="DY67" s="512">
        <v>0</v>
      </c>
      <c r="DZ67" s="513">
        <v>866119.76672511152</v>
      </c>
      <c r="EA67" s="513">
        <v>17164.025855861721</v>
      </c>
      <c r="EB67" s="514">
        <v>1752</v>
      </c>
      <c r="EC67" s="514">
        <v>0</v>
      </c>
      <c r="ED67" s="514">
        <v>0</v>
      </c>
      <c r="EE67" s="494"/>
      <c r="EF67" s="513">
        <v>885035.79258097324</v>
      </c>
      <c r="EG67" s="513">
        <v>853204.79258097324</v>
      </c>
      <c r="EH67" s="515">
        <v>272</v>
      </c>
      <c r="EI67" s="516">
        <v>11408.743883436468</v>
      </c>
      <c r="EJ67" s="517"/>
      <c r="EL67" s="518"/>
      <c r="EM67" s="518">
        <v>885035.79258097324</v>
      </c>
      <c r="EN67" s="518">
        <v>0</v>
      </c>
      <c r="EO67" s="518">
        <v>0</v>
      </c>
      <c r="EP67" s="518">
        <v>0</v>
      </c>
      <c r="EQ67" s="518">
        <v>-9009.7162530623336</v>
      </c>
      <c r="ER67" s="518">
        <v>0</v>
      </c>
      <c r="ES67" s="518">
        <v>-1752</v>
      </c>
      <c r="ET67" s="518">
        <v>0</v>
      </c>
      <c r="EU67" s="518">
        <v>0</v>
      </c>
      <c r="EV67" s="518">
        <v>0</v>
      </c>
      <c r="EW67" s="518">
        <v>0</v>
      </c>
      <c r="EX67" s="518">
        <v>0</v>
      </c>
      <c r="EY67" s="518">
        <v>0</v>
      </c>
      <c r="EZ67" s="518">
        <v>874274.07632791088</v>
      </c>
      <c r="FB67" s="518">
        <v>0</v>
      </c>
      <c r="FC67" s="518">
        <v>-9009.7162530623336</v>
      </c>
      <c r="FF67" s="518">
        <v>739005.03638534679</v>
      </c>
      <c r="FI67" s="488">
        <v>3190.7813004668278</v>
      </c>
      <c r="FK67" s="488">
        <v>274</v>
      </c>
      <c r="FL67" s="488">
        <v>0</v>
      </c>
      <c r="FM67" s="488">
        <v>274</v>
      </c>
    </row>
    <row r="68" spans="1:169" s="488" customFormat="1" x14ac:dyDescent="0.2">
      <c r="A68" s="489" t="s">
        <v>316</v>
      </c>
      <c r="B68" s="489" t="s">
        <v>856</v>
      </c>
      <c r="C68" s="489">
        <v>2462</v>
      </c>
      <c r="D68" s="488" t="s">
        <v>169</v>
      </c>
      <c r="E68" s="490"/>
      <c r="F68" s="490"/>
      <c r="G68" s="490"/>
      <c r="H68" s="490"/>
      <c r="I68" s="490"/>
      <c r="J68" s="490"/>
      <c r="K68" s="490"/>
      <c r="L68" s="490"/>
      <c r="M68" s="490"/>
      <c r="N68" s="528">
        <v>0</v>
      </c>
      <c r="O68" s="529">
        <v>0</v>
      </c>
      <c r="P68" s="530">
        <v>0</v>
      </c>
      <c r="Q68" s="528">
        <v>146</v>
      </c>
      <c r="R68" s="529">
        <v>217.102</v>
      </c>
      <c r="S68" s="530">
        <v>357748.10663832782</v>
      </c>
      <c r="T68" s="531">
        <v>75</v>
      </c>
      <c r="U68" s="529">
        <v>132.30000000000001</v>
      </c>
      <c r="V68" s="530">
        <v>218008.46840771055</v>
      </c>
      <c r="W68" s="491"/>
      <c r="X68" s="532">
        <v>0</v>
      </c>
      <c r="Y68" s="530">
        <v>0</v>
      </c>
      <c r="Z68" s="529">
        <v>221</v>
      </c>
      <c r="AA68" s="532">
        <v>349.40200000000004</v>
      </c>
      <c r="AB68" s="530">
        <v>575756</v>
      </c>
      <c r="AC68" s="490"/>
      <c r="AD68" s="490"/>
      <c r="AE68" s="490"/>
      <c r="AF68" s="490"/>
      <c r="AG68" s="490"/>
      <c r="AH68" s="490"/>
      <c r="AI68" s="533"/>
      <c r="AJ68" s="530">
        <v>0</v>
      </c>
      <c r="AK68" s="530">
        <v>0</v>
      </c>
      <c r="AL68" s="530">
        <v>4485.6400000000003</v>
      </c>
      <c r="AM68" s="534"/>
      <c r="AN68" s="530">
        <v>0</v>
      </c>
      <c r="AO68" s="535">
        <v>92.6</v>
      </c>
      <c r="AP68" s="530">
        <v>3562.7903910004861</v>
      </c>
      <c r="AQ68" s="536">
        <v>3</v>
      </c>
      <c r="AR68" s="530">
        <v>34020.916695056439</v>
      </c>
      <c r="AS68" s="490"/>
      <c r="AT68" s="536">
        <v>22.5</v>
      </c>
      <c r="AU68" s="536">
        <v>10</v>
      </c>
      <c r="AV68" s="537">
        <v>15.208333333333334</v>
      </c>
      <c r="AW68" s="538">
        <v>9134.8512010215345</v>
      </c>
      <c r="AX68" s="539"/>
      <c r="AY68" s="535">
        <v>0</v>
      </c>
      <c r="AZ68" s="540"/>
      <c r="BA68" s="499"/>
      <c r="BB68" s="528">
        <v>9</v>
      </c>
      <c r="BC68" s="528">
        <v>6855.5786350148364</v>
      </c>
      <c r="BD68" s="528">
        <v>15</v>
      </c>
      <c r="BE68" s="538">
        <v>4901.7591636015777</v>
      </c>
      <c r="BF68" s="535">
        <v>209</v>
      </c>
      <c r="BG68" s="535">
        <v>26</v>
      </c>
      <c r="BH68" s="535">
        <v>212</v>
      </c>
      <c r="BI68" s="535">
        <v>28</v>
      </c>
      <c r="BJ68" s="536">
        <v>221</v>
      </c>
      <c r="BK68" s="536">
        <v>28</v>
      </c>
      <c r="BL68" s="541">
        <v>214</v>
      </c>
      <c r="BM68" s="541">
        <v>27.33</v>
      </c>
      <c r="BN68" s="542">
        <v>12.77</v>
      </c>
      <c r="BO68" s="529">
        <v>28.22</v>
      </c>
      <c r="BP68" s="528">
        <v>41616.468966450775</v>
      </c>
      <c r="BQ68" s="536">
        <v>17</v>
      </c>
      <c r="BR68" s="530">
        <v>3416.51</v>
      </c>
      <c r="BS68" s="536">
        <v>45</v>
      </c>
      <c r="BT68" s="530">
        <v>9093.8367068066545</v>
      </c>
      <c r="BU68" s="530">
        <v>121</v>
      </c>
      <c r="BV68" s="530">
        <v>27513.153184666957</v>
      </c>
      <c r="BW68" s="536">
        <v>5</v>
      </c>
      <c r="BX68" s="530">
        <v>4280.5871237630872</v>
      </c>
      <c r="BY68" s="500"/>
      <c r="BZ68" s="282"/>
      <c r="CA68" s="282"/>
      <c r="CB68" s="490"/>
      <c r="CC68" s="490"/>
      <c r="CD68" s="490"/>
      <c r="CE68" s="282"/>
      <c r="CF68" s="490"/>
      <c r="CG68" s="543">
        <v>221</v>
      </c>
      <c r="CH68" s="532" t="e">
        <v>#DIV/0!</v>
      </c>
      <c r="CI68" s="532" t="e">
        <v>#DIV/0!</v>
      </c>
      <c r="CJ68" s="544"/>
      <c r="CK68" s="490"/>
      <c r="CL68" s="545">
        <v>1258.7656845819261</v>
      </c>
      <c r="CM68" s="546">
        <v>3</v>
      </c>
      <c r="CN68" s="532">
        <v>3776.2970537457782</v>
      </c>
      <c r="CO68" s="530">
        <v>5405.17</v>
      </c>
      <c r="CP68" s="490"/>
      <c r="CQ68" s="490"/>
      <c r="CR68" s="490"/>
      <c r="CS68" s="490"/>
      <c r="CT68" s="490"/>
      <c r="CU68" s="490"/>
      <c r="CV68" s="490"/>
      <c r="CW68" s="490"/>
      <c r="CX68" s="490"/>
      <c r="CY68" s="547"/>
      <c r="CZ68" s="530">
        <v>0</v>
      </c>
      <c r="DA68" s="506">
        <v>12824</v>
      </c>
      <c r="DB68" s="548"/>
      <c r="DC68" s="537">
        <v>0</v>
      </c>
      <c r="DD68" s="530">
        <v>0</v>
      </c>
      <c r="DE68" s="490"/>
      <c r="DF68" s="529">
        <v>1</v>
      </c>
      <c r="DG68" s="549">
        <v>70073.495851086889</v>
      </c>
      <c r="DH68" s="550"/>
      <c r="DI68" s="530">
        <v>0</v>
      </c>
      <c r="DJ68" s="551"/>
      <c r="DK68" s="552"/>
      <c r="DL68" s="282"/>
      <c r="DM68" s="490"/>
      <c r="DN68" s="509"/>
      <c r="DO68" s="553">
        <v>0</v>
      </c>
      <c r="DP68" s="530">
        <v>0</v>
      </c>
      <c r="DQ68" s="282"/>
      <c r="DR68" s="510"/>
      <c r="DS68" s="282"/>
      <c r="DT68" s="541">
        <v>0</v>
      </c>
      <c r="DU68" s="541">
        <v>0</v>
      </c>
      <c r="DV68" s="490"/>
      <c r="DW68" s="490"/>
      <c r="DX68" s="511">
        <v>101387.6784</v>
      </c>
      <c r="DY68" s="512">
        <v>0</v>
      </c>
      <c r="DZ68" s="513">
        <v>914328.43631846935</v>
      </c>
      <c r="EA68" s="513">
        <v>0</v>
      </c>
      <c r="EB68" s="514">
        <v>-2127</v>
      </c>
      <c r="EC68" s="514">
        <v>0</v>
      </c>
      <c r="ED68" s="514">
        <v>-2105.2171999999991</v>
      </c>
      <c r="EE68" s="494"/>
      <c r="EF68" s="513">
        <v>910096.21911846939</v>
      </c>
      <c r="EG68" s="513">
        <v>897272.21911846939</v>
      </c>
      <c r="EH68" s="515">
        <v>221</v>
      </c>
      <c r="EI68" s="516">
        <v>9269.6044052921297</v>
      </c>
      <c r="EJ68" s="517"/>
      <c r="EL68" s="518"/>
      <c r="EM68" s="518">
        <v>910096.21911846939</v>
      </c>
      <c r="EN68" s="518">
        <v>-101387.6784</v>
      </c>
      <c r="EO68" s="518">
        <v>2105.2171999999991</v>
      </c>
      <c r="EP68" s="518">
        <v>0</v>
      </c>
      <c r="EQ68" s="518">
        <v>-9134.8512010215345</v>
      </c>
      <c r="ER68" s="518">
        <v>0</v>
      </c>
      <c r="ES68" s="518">
        <v>2127</v>
      </c>
      <c r="ET68" s="518">
        <v>0</v>
      </c>
      <c r="EU68" s="518">
        <v>0</v>
      </c>
      <c r="EV68" s="518">
        <v>0</v>
      </c>
      <c r="EW68" s="518">
        <v>0</v>
      </c>
      <c r="EX68" s="518">
        <v>-34020.916695056439</v>
      </c>
      <c r="EY68" s="518">
        <v>0</v>
      </c>
      <c r="EZ68" s="518">
        <v>769784.99002239131</v>
      </c>
      <c r="FB68" s="518">
        <v>99282.461200000005</v>
      </c>
      <c r="FC68" s="518">
        <v>-9134.8512010215345</v>
      </c>
      <c r="FF68" s="518">
        <v>659438.29790989566</v>
      </c>
      <c r="FI68" s="488">
        <v>3547.3962673842916</v>
      </c>
      <c r="FK68" s="488">
        <v>217</v>
      </c>
      <c r="FL68" s="488">
        <v>0</v>
      </c>
      <c r="FM68" s="488">
        <v>217</v>
      </c>
    </row>
    <row r="69" spans="1:169" s="488" customFormat="1" x14ac:dyDescent="0.2">
      <c r="A69" s="489" t="s">
        <v>51</v>
      </c>
      <c r="B69" s="489" t="s">
        <v>857</v>
      </c>
      <c r="C69" s="489">
        <v>2463</v>
      </c>
      <c r="D69" s="488" t="s">
        <v>169</v>
      </c>
      <c r="E69" s="490"/>
      <c r="F69" s="490"/>
      <c r="G69" s="490"/>
      <c r="H69" s="490"/>
      <c r="I69" s="490"/>
      <c r="J69" s="490"/>
      <c r="K69" s="490"/>
      <c r="L69" s="490"/>
      <c r="M69" s="490"/>
      <c r="N69" s="528">
        <v>278</v>
      </c>
      <c r="O69" s="529">
        <v>433.45759999999996</v>
      </c>
      <c r="P69" s="530">
        <v>714266.26980863197</v>
      </c>
      <c r="Q69" s="528">
        <v>0</v>
      </c>
      <c r="R69" s="529">
        <v>0</v>
      </c>
      <c r="S69" s="530">
        <v>0</v>
      </c>
      <c r="T69" s="531">
        <v>0</v>
      </c>
      <c r="U69" s="529">
        <v>0</v>
      </c>
      <c r="V69" s="530">
        <v>0</v>
      </c>
      <c r="W69" s="491"/>
      <c r="X69" s="532">
        <v>0</v>
      </c>
      <c r="Y69" s="530">
        <v>0</v>
      </c>
      <c r="Z69" s="529">
        <v>278</v>
      </c>
      <c r="AA69" s="532">
        <v>433.45759999999996</v>
      </c>
      <c r="AB69" s="530">
        <v>714267</v>
      </c>
      <c r="AC69" s="490"/>
      <c r="AD69" s="490"/>
      <c r="AE69" s="490"/>
      <c r="AF69" s="490"/>
      <c r="AG69" s="490"/>
      <c r="AH69" s="490"/>
      <c r="AI69" s="533"/>
      <c r="AJ69" s="530">
        <v>0</v>
      </c>
      <c r="AK69" s="530">
        <v>0</v>
      </c>
      <c r="AL69" s="530">
        <v>5642.57</v>
      </c>
      <c r="AM69" s="534"/>
      <c r="AN69" s="530">
        <v>0</v>
      </c>
      <c r="AO69" s="535">
        <v>105.1</v>
      </c>
      <c r="AP69" s="530">
        <v>4043.7286187273335</v>
      </c>
      <c r="AQ69" s="536">
        <v>0</v>
      </c>
      <c r="AR69" s="530">
        <v>0</v>
      </c>
      <c r="AS69" s="490"/>
      <c r="AT69" s="536">
        <v>5</v>
      </c>
      <c r="AU69" s="536">
        <v>22.5</v>
      </c>
      <c r="AV69" s="537">
        <v>15.208333333333334</v>
      </c>
      <c r="AW69" s="538">
        <v>9134.8512010215345</v>
      </c>
      <c r="AX69" s="539"/>
      <c r="AY69" s="535">
        <v>0</v>
      </c>
      <c r="AZ69" s="540"/>
      <c r="BA69" s="499"/>
      <c r="BB69" s="528">
        <v>3</v>
      </c>
      <c r="BC69" s="528">
        <v>2285.1928783382787</v>
      </c>
      <c r="BD69" s="528">
        <v>5</v>
      </c>
      <c r="BE69" s="538">
        <v>1633.9197212005261</v>
      </c>
      <c r="BF69" s="535">
        <v>270</v>
      </c>
      <c r="BG69" s="535">
        <v>25</v>
      </c>
      <c r="BH69" s="535">
        <v>284</v>
      </c>
      <c r="BI69" s="535">
        <v>32</v>
      </c>
      <c r="BJ69" s="536">
        <v>278</v>
      </c>
      <c r="BK69" s="536">
        <v>36</v>
      </c>
      <c r="BL69" s="541">
        <v>277.33</v>
      </c>
      <c r="BM69" s="541">
        <v>31</v>
      </c>
      <c r="BN69" s="542">
        <v>11.18</v>
      </c>
      <c r="BO69" s="529">
        <v>31.08</v>
      </c>
      <c r="BP69" s="528">
        <v>45834.155048805456</v>
      </c>
      <c r="BQ69" s="536">
        <v>21</v>
      </c>
      <c r="BR69" s="530">
        <v>4220.3999999999996</v>
      </c>
      <c r="BS69" s="536">
        <v>39</v>
      </c>
      <c r="BT69" s="530">
        <v>7881.3251458990999</v>
      </c>
      <c r="BU69" s="530">
        <v>76</v>
      </c>
      <c r="BV69" s="530">
        <v>17280.988777146187</v>
      </c>
      <c r="BW69" s="536">
        <v>3</v>
      </c>
      <c r="BX69" s="530">
        <v>2568.3522742578525</v>
      </c>
      <c r="BY69" s="500"/>
      <c r="BZ69" s="282"/>
      <c r="CA69" s="282"/>
      <c r="CB69" s="490"/>
      <c r="CC69" s="490"/>
      <c r="CD69" s="490"/>
      <c r="CE69" s="282"/>
      <c r="CF69" s="490"/>
      <c r="CG69" s="543">
        <v>278</v>
      </c>
      <c r="CH69" s="532" t="e">
        <v>#DIV/0!</v>
      </c>
      <c r="CI69" s="532" t="e">
        <v>#DIV/0!</v>
      </c>
      <c r="CJ69" s="544"/>
      <c r="CK69" s="490"/>
      <c r="CL69" s="545">
        <v>1615</v>
      </c>
      <c r="CM69" s="546">
        <v>2</v>
      </c>
      <c r="CN69" s="532">
        <v>3230</v>
      </c>
      <c r="CO69" s="530">
        <v>4623.2299999999996</v>
      </c>
      <c r="CP69" s="490"/>
      <c r="CQ69" s="490"/>
      <c r="CR69" s="490"/>
      <c r="CS69" s="490"/>
      <c r="CT69" s="490"/>
      <c r="CU69" s="490"/>
      <c r="CV69" s="490"/>
      <c r="CW69" s="490"/>
      <c r="CX69" s="490"/>
      <c r="CY69" s="547"/>
      <c r="CZ69" s="530">
        <v>0</v>
      </c>
      <c r="DA69" s="506">
        <v>12824</v>
      </c>
      <c r="DB69" s="548"/>
      <c r="DC69" s="537">
        <v>0</v>
      </c>
      <c r="DD69" s="530">
        <v>0</v>
      </c>
      <c r="DE69" s="490"/>
      <c r="DF69" s="529">
        <v>1</v>
      </c>
      <c r="DG69" s="549">
        <v>70073.495851086889</v>
      </c>
      <c r="DH69" s="550"/>
      <c r="DI69" s="530">
        <v>0</v>
      </c>
      <c r="DJ69" s="551"/>
      <c r="DK69" s="552"/>
      <c r="DL69" s="282"/>
      <c r="DM69" s="490"/>
      <c r="DN69" s="509"/>
      <c r="DO69" s="553">
        <v>0</v>
      </c>
      <c r="DP69" s="530">
        <v>0</v>
      </c>
      <c r="DQ69" s="282"/>
      <c r="DR69" s="510"/>
      <c r="DS69" s="282"/>
      <c r="DT69" s="541">
        <v>0</v>
      </c>
      <c r="DU69" s="541">
        <v>0</v>
      </c>
      <c r="DV69" s="490"/>
      <c r="DW69" s="490"/>
      <c r="DX69" s="511"/>
      <c r="DY69" s="512">
        <v>0</v>
      </c>
      <c r="DZ69" s="513">
        <v>902313.20951648301</v>
      </c>
      <c r="EA69" s="513">
        <v>0</v>
      </c>
      <c r="EB69" s="514">
        <v>0</v>
      </c>
      <c r="EC69" s="514">
        <v>0</v>
      </c>
      <c r="ED69" s="514">
        <v>0</v>
      </c>
      <c r="EE69" s="494"/>
      <c r="EF69" s="513">
        <v>902313.20951648301</v>
      </c>
      <c r="EG69" s="513">
        <v>889489.20951648301</v>
      </c>
      <c r="EH69" s="515">
        <v>278</v>
      </c>
      <c r="EI69" s="516">
        <v>11660.407351453448</v>
      </c>
      <c r="EJ69" s="517"/>
      <c r="EL69" s="518"/>
      <c r="EM69" s="518">
        <v>902313.20951648301</v>
      </c>
      <c r="EN69" s="518">
        <v>0</v>
      </c>
      <c r="EO69" s="518">
        <v>0</v>
      </c>
      <c r="EP69" s="518">
        <v>0</v>
      </c>
      <c r="EQ69" s="518">
        <v>-9134.8512010215345</v>
      </c>
      <c r="ER69" s="518">
        <v>0</v>
      </c>
      <c r="ES69" s="518">
        <v>0</v>
      </c>
      <c r="ET69" s="518">
        <v>0</v>
      </c>
      <c r="EU69" s="518">
        <v>0</v>
      </c>
      <c r="EV69" s="518">
        <v>0</v>
      </c>
      <c r="EW69" s="518">
        <v>0</v>
      </c>
      <c r="EX69" s="518">
        <v>0</v>
      </c>
      <c r="EY69" s="518">
        <v>0</v>
      </c>
      <c r="EZ69" s="518">
        <v>893178.35831546143</v>
      </c>
      <c r="FB69" s="518">
        <v>0</v>
      </c>
      <c r="FC69" s="518">
        <v>-9134.8512010215345</v>
      </c>
      <c r="FF69" s="518">
        <v>786456.08897854772</v>
      </c>
      <c r="FI69" s="488">
        <v>3178.5706701617846</v>
      </c>
      <c r="FK69" s="488">
        <v>281</v>
      </c>
      <c r="FL69" s="488">
        <v>0</v>
      </c>
      <c r="FM69" s="488">
        <v>281</v>
      </c>
    </row>
    <row r="70" spans="1:169" s="488" customFormat="1" x14ac:dyDescent="0.2">
      <c r="A70" s="559" t="s">
        <v>52</v>
      </c>
      <c r="B70" s="559" t="s">
        <v>858</v>
      </c>
      <c r="C70" s="559">
        <v>2505</v>
      </c>
      <c r="D70" s="488" t="s">
        <v>169</v>
      </c>
      <c r="E70" s="490"/>
      <c r="F70" s="490"/>
      <c r="G70" s="490"/>
      <c r="H70" s="490"/>
      <c r="I70" s="490"/>
      <c r="J70" s="490"/>
      <c r="K70" s="490"/>
      <c r="L70" s="490"/>
      <c r="M70" s="490"/>
      <c r="N70" s="528">
        <v>204</v>
      </c>
      <c r="O70" s="529">
        <v>318.07679999999999</v>
      </c>
      <c r="P70" s="530">
        <v>524137.83827683789</v>
      </c>
      <c r="Q70" s="528">
        <v>127</v>
      </c>
      <c r="R70" s="529">
        <v>188.84900000000002</v>
      </c>
      <c r="S70" s="530">
        <v>311191.84618539474</v>
      </c>
      <c r="T70" s="531">
        <v>75</v>
      </c>
      <c r="U70" s="529">
        <v>132.30000000000001</v>
      </c>
      <c r="V70" s="530">
        <v>218008.46840771055</v>
      </c>
      <c r="W70" s="491"/>
      <c r="X70" s="532">
        <v>0</v>
      </c>
      <c r="Y70" s="530">
        <v>0</v>
      </c>
      <c r="Z70" s="529">
        <v>406</v>
      </c>
      <c r="AA70" s="532">
        <v>639.22579999999994</v>
      </c>
      <c r="AB70" s="530">
        <v>1053337</v>
      </c>
      <c r="AC70" s="490"/>
      <c r="AD70" s="490"/>
      <c r="AE70" s="490"/>
      <c r="AF70" s="490"/>
      <c r="AG70" s="490"/>
      <c r="AH70" s="490"/>
      <c r="AI70" s="533"/>
      <c r="AJ70" s="530">
        <v>0</v>
      </c>
      <c r="AK70" s="530">
        <v>0</v>
      </c>
      <c r="AL70" s="530">
        <v>8240.58</v>
      </c>
      <c r="AM70" s="534"/>
      <c r="AN70" s="530">
        <v>0</v>
      </c>
      <c r="AO70" s="535">
        <v>78.2</v>
      </c>
      <c r="AP70" s="530">
        <v>3008.7495526591583</v>
      </c>
      <c r="AQ70" s="536">
        <v>3</v>
      </c>
      <c r="AR70" s="530">
        <v>34020.916695056439</v>
      </c>
      <c r="AS70" s="490"/>
      <c r="AT70" s="536">
        <v>5</v>
      </c>
      <c r="AU70" s="536">
        <v>5</v>
      </c>
      <c r="AV70" s="537">
        <v>5</v>
      </c>
      <c r="AW70" s="538">
        <v>3003.2387510207782</v>
      </c>
      <c r="AX70" s="539"/>
      <c r="AY70" s="535">
        <v>0</v>
      </c>
      <c r="AZ70" s="540"/>
      <c r="BA70" s="499"/>
      <c r="BB70" s="528">
        <v>17</v>
      </c>
      <c r="BC70" s="528">
        <v>12949.42631058358</v>
      </c>
      <c r="BD70" s="528">
        <v>26</v>
      </c>
      <c r="BE70" s="538">
        <v>8496.3825502427353</v>
      </c>
      <c r="BF70" s="535">
        <v>411</v>
      </c>
      <c r="BG70" s="535">
        <v>107</v>
      </c>
      <c r="BH70" s="535">
        <v>395</v>
      </c>
      <c r="BI70" s="535">
        <v>105</v>
      </c>
      <c r="BJ70" s="536">
        <v>406</v>
      </c>
      <c r="BK70" s="536">
        <v>119</v>
      </c>
      <c r="BL70" s="541">
        <v>404</v>
      </c>
      <c r="BM70" s="541">
        <v>110.33</v>
      </c>
      <c r="BN70" s="542">
        <v>27.31</v>
      </c>
      <c r="BO70" s="529">
        <v>110.88</v>
      </c>
      <c r="BP70" s="528">
        <v>163516.44503898162</v>
      </c>
      <c r="BQ70" s="536">
        <v>99</v>
      </c>
      <c r="BR70" s="530">
        <v>19896.169999999998</v>
      </c>
      <c r="BS70" s="536">
        <v>70</v>
      </c>
      <c r="BT70" s="530">
        <v>14145.968210588129</v>
      </c>
      <c r="BU70" s="530">
        <v>891</v>
      </c>
      <c r="BV70" s="530">
        <v>202596.85526891123</v>
      </c>
      <c r="BW70" s="536">
        <v>12</v>
      </c>
      <c r="BX70" s="530">
        <v>10273.40909703141</v>
      </c>
      <c r="BY70" s="500"/>
      <c r="BZ70" s="282"/>
      <c r="CA70" s="282"/>
      <c r="CB70" s="490"/>
      <c r="CC70" s="490"/>
      <c r="CD70" s="490"/>
      <c r="CE70" s="282"/>
      <c r="CF70" s="490"/>
      <c r="CG70" s="543">
        <v>406</v>
      </c>
      <c r="CH70" s="532" t="e">
        <v>#DIV/0!</v>
      </c>
      <c r="CI70" s="532" t="e">
        <v>#DIV/0!</v>
      </c>
      <c r="CJ70" s="544"/>
      <c r="CK70" s="490"/>
      <c r="CL70" s="545">
        <v>2385.158650463703</v>
      </c>
      <c r="CM70" s="546">
        <v>2</v>
      </c>
      <c r="CN70" s="532">
        <v>4770.317300927406</v>
      </c>
      <c r="CO70" s="530">
        <v>6827.96</v>
      </c>
      <c r="CP70" s="490"/>
      <c r="CQ70" s="490"/>
      <c r="CR70" s="490"/>
      <c r="CS70" s="490"/>
      <c r="CT70" s="490"/>
      <c r="CU70" s="490"/>
      <c r="CV70" s="490"/>
      <c r="CW70" s="490"/>
      <c r="CX70" s="490"/>
      <c r="CY70" s="547"/>
      <c r="CZ70" s="530">
        <v>0</v>
      </c>
      <c r="DA70" s="506">
        <v>26793</v>
      </c>
      <c r="DB70" s="548"/>
      <c r="DC70" s="537">
        <v>0</v>
      </c>
      <c r="DD70" s="530">
        <v>0</v>
      </c>
      <c r="DE70" s="490"/>
      <c r="DF70" s="529">
        <v>1</v>
      </c>
      <c r="DG70" s="549">
        <v>70073.495851086889</v>
      </c>
      <c r="DH70" s="550"/>
      <c r="DI70" s="530">
        <v>0</v>
      </c>
      <c r="DJ70" s="551"/>
      <c r="DK70" s="552"/>
      <c r="DL70" s="282"/>
      <c r="DM70" s="490"/>
      <c r="DN70" s="509"/>
      <c r="DO70" s="553">
        <v>0</v>
      </c>
      <c r="DP70" s="530">
        <v>0</v>
      </c>
      <c r="DQ70" s="282"/>
      <c r="DR70" s="510"/>
      <c r="DS70" s="282"/>
      <c r="DT70" s="541">
        <v>0</v>
      </c>
      <c r="DU70" s="541">
        <v>0</v>
      </c>
      <c r="DV70" s="490"/>
      <c r="DW70" s="490"/>
      <c r="DX70" s="511">
        <v>208370.492</v>
      </c>
      <c r="DY70" s="512">
        <v>0</v>
      </c>
      <c r="DZ70" s="513">
        <v>1845550.0893261624</v>
      </c>
      <c r="EA70" s="513">
        <v>0</v>
      </c>
      <c r="EB70" s="514">
        <v>4317</v>
      </c>
      <c r="EC70" s="514">
        <v>0</v>
      </c>
      <c r="ED70" s="514">
        <v>12276.824399999983</v>
      </c>
      <c r="EE70" s="494"/>
      <c r="EF70" s="513">
        <v>1862143.9137261624</v>
      </c>
      <c r="EG70" s="513">
        <v>1835350.9137261624</v>
      </c>
      <c r="EH70" s="515">
        <v>406</v>
      </c>
      <c r="EI70" s="516">
        <v>17029.228002482374</v>
      </c>
      <c r="EJ70" s="517"/>
      <c r="EL70" s="518"/>
      <c r="EM70" s="518">
        <v>1862143.9137261624</v>
      </c>
      <c r="EN70" s="518">
        <v>-208370.492</v>
      </c>
      <c r="EO70" s="518">
        <v>-12276.824399999983</v>
      </c>
      <c r="EP70" s="518">
        <v>0</v>
      </c>
      <c r="EQ70" s="518">
        <v>-3003.2387510207782</v>
      </c>
      <c r="ER70" s="518">
        <v>0</v>
      </c>
      <c r="ES70" s="518">
        <v>-4317</v>
      </c>
      <c r="ET70" s="518">
        <v>0</v>
      </c>
      <c r="EU70" s="518">
        <v>0</v>
      </c>
      <c r="EV70" s="518">
        <v>0</v>
      </c>
      <c r="EW70" s="518">
        <v>0</v>
      </c>
      <c r="EX70" s="518">
        <v>-34020.916695056439</v>
      </c>
      <c r="EY70" s="518">
        <v>0</v>
      </c>
      <c r="EZ70" s="518">
        <v>1600155.441880085</v>
      </c>
      <c r="FB70" s="518">
        <v>220647.31639999998</v>
      </c>
      <c r="FC70" s="518">
        <v>-3003.2387510207782</v>
      </c>
      <c r="FF70" s="518">
        <v>1462569.3057155078</v>
      </c>
      <c r="FI70" s="488">
        <v>3902.8181509270366</v>
      </c>
      <c r="FK70" s="488">
        <v>410</v>
      </c>
      <c r="FL70" s="488">
        <v>0</v>
      </c>
      <c r="FM70" s="488">
        <v>410</v>
      </c>
    </row>
    <row r="71" spans="1:169" s="488" customFormat="1" x14ac:dyDescent="0.2">
      <c r="A71" s="489" t="s">
        <v>53</v>
      </c>
      <c r="B71" s="489" t="s">
        <v>859</v>
      </c>
      <c r="C71" s="489">
        <v>2000</v>
      </c>
      <c r="D71" s="488" t="s">
        <v>169</v>
      </c>
      <c r="E71" s="490"/>
      <c r="F71" s="490"/>
      <c r="G71" s="490"/>
      <c r="H71" s="490"/>
      <c r="I71" s="490"/>
      <c r="J71" s="490"/>
      <c r="K71" s="490"/>
      <c r="L71" s="490"/>
      <c r="M71" s="490"/>
      <c r="N71" s="528">
        <v>173</v>
      </c>
      <c r="O71" s="529">
        <v>269.74160000000001</v>
      </c>
      <c r="P71" s="530">
        <v>444489.44128378906</v>
      </c>
      <c r="Q71" s="528">
        <v>84</v>
      </c>
      <c r="R71" s="529">
        <v>124.90800000000002</v>
      </c>
      <c r="S71" s="530">
        <v>205827.67779191464</v>
      </c>
      <c r="T71" s="531">
        <v>52</v>
      </c>
      <c r="U71" s="529">
        <v>91.727999999999994</v>
      </c>
      <c r="V71" s="530">
        <v>151152.53809601261</v>
      </c>
      <c r="W71" s="491"/>
      <c r="X71" s="532">
        <v>0</v>
      </c>
      <c r="Y71" s="530">
        <v>0</v>
      </c>
      <c r="Z71" s="529">
        <v>309</v>
      </c>
      <c r="AA71" s="532">
        <v>486.37760000000003</v>
      </c>
      <c r="AB71" s="530">
        <v>801471</v>
      </c>
      <c r="AC71" s="490"/>
      <c r="AD71" s="490"/>
      <c r="AE71" s="490"/>
      <c r="AF71" s="490"/>
      <c r="AG71" s="490"/>
      <c r="AH71" s="490"/>
      <c r="AI71" s="554">
        <v>410850.88821681798</v>
      </c>
      <c r="AJ71" s="530">
        <v>0</v>
      </c>
      <c r="AK71" s="530">
        <v>0</v>
      </c>
      <c r="AL71" s="530">
        <v>6271.77</v>
      </c>
      <c r="AM71" s="534"/>
      <c r="AN71" s="530">
        <v>0</v>
      </c>
      <c r="AO71" s="535">
        <v>59.8</v>
      </c>
      <c r="AP71" s="530">
        <v>2300.8084814452386</v>
      </c>
      <c r="AQ71" s="536">
        <v>2</v>
      </c>
      <c r="AR71" s="530">
        <v>22680.611130037629</v>
      </c>
      <c r="AS71" s="490"/>
      <c r="AT71" s="536">
        <v>0</v>
      </c>
      <c r="AU71" s="536">
        <v>0</v>
      </c>
      <c r="AV71" s="537">
        <v>0</v>
      </c>
      <c r="AW71" s="538">
        <v>0</v>
      </c>
      <c r="AX71" s="539"/>
      <c r="AY71" s="535">
        <v>0</v>
      </c>
      <c r="AZ71" s="540"/>
      <c r="BA71" s="499"/>
      <c r="BB71" s="528">
        <v>4</v>
      </c>
      <c r="BC71" s="528">
        <v>3046.9238377843717</v>
      </c>
      <c r="BD71" s="528">
        <v>19</v>
      </c>
      <c r="BE71" s="538">
        <v>6208.8949405619987</v>
      </c>
      <c r="BF71" s="535">
        <v>303</v>
      </c>
      <c r="BG71" s="535">
        <v>78</v>
      </c>
      <c r="BH71" s="535">
        <v>297</v>
      </c>
      <c r="BI71" s="535">
        <v>77</v>
      </c>
      <c r="BJ71" s="536">
        <v>309</v>
      </c>
      <c r="BK71" s="536">
        <v>84</v>
      </c>
      <c r="BL71" s="541">
        <v>303</v>
      </c>
      <c r="BM71" s="541">
        <v>79.67</v>
      </c>
      <c r="BN71" s="542">
        <v>26.29</v>
      </c>
      <c r="BO71" s="529">
        <v>81.239999999999995</v>
      </c>
      <c r="BP71" s="528">
        <v>119805.88018548762</v>
      </c>
      <c r="BQ71" s="536">
        <v>13</v>
      </c>
      <c r="BR71" s="530">
        <v>2612.63</v>
      </c>
      <c r="BS71" s="536">
        <v>18</v>
      </c>
      <c r="BT71" s="530">
        <v>3637.5346827226617</v>
      </c>
      <c r="BU71" s="530">
        <v>333</v>
      </c>
      <c r="BV71" s="530">
        <v>75718.016615653687</v>
      </c>
      <c r="BW71" s="536">
        <v>8</v>
      </c>
      <c r="BX71" s="530">
        <v>6848.9393980209397</v>
      </c>
      <c r="BY71" s="500"/>
      <c r="BZ71" s="282"/>
      <c r="CA71" s="282"/>
      <c r="CB71" s="490"/>
      <c r="CC71" s="490"/>
      <c r="CD71" s="490"/>
      <c r="CE71" s="282"/>
      <c r="CF71" s="490"/>
      <c r="CG71" s="543">
        <v>309</v>
      </c>
      <c r="CH71" s="532" t="e">
        <v>#DIV/0!</v>
      </c>
      <c r="CI71" s="532" t="e">
        <v>#DIV/0!</v>
      </c>
      <c r="CJ71" s="544"/>
      <c r="CK71" s="490"/>
      <c r="CL71" s="545">
        <v>2734.588495617837</v>
      </c>
      <c r="CM71" s="546">
        <v>2</v>
      </c>
      <c r="CN71" s="532">
        <v>5469.176991235674</v>
      </c>
      <c r="CO71" s="530">
        <v>7828.26</v>
      </c>
      <c r="CP71" s="490"/>
      <c r="CQ71" s="490"/>
      <c r="CR71" s="490"/>
      <c r="CS71" s="490"/>
      <c r="CT71" s="490"/>
      <c r="CU71" s="490"/>
      <c r="CV71" s="490"/>
      <c r="CW71" s="490"/>
      <c r="CX71" s="490"/>
      <c r="CY71" s="547"/>
      <c r="CZ71" s="530">
        <v>0</v>
      </c>
      <c r="DA71" s="506">
        <v>15228.5</v>
      </c>
      <c r="DB71" s="548"/>
      <c r="DC71" s="537">
        <v>0</v>
      </c>
      <c r="DD71" s="530">
        <v>0</v>
      </c>
      <c r="DE71" s="490"/>
      <c r="DF71" s="529">
        <v>1</v>
      </c>
      <c r="DG71" s="549">
        <v>70073.495851086889</v>
      </c>
      <c r="DH71" s="550"/>
      <c r="DI71" s="530">
        <v>0</v>
      </c>
      <c r="DJ71" s="551"/>
      <c r="DK71" s="552"/>
      <c r="DL71" s="282"/>
      <c r="DM71" s="490"/>
      <c r="DN71" s="509"/>
      <c r="DO71" s="553">
        <v>0</v>
      </c>
      <c r="DP71" s="530">
        <v>0</v>
      </c>
      <c r="DQ71" s="282"/>
      <c r="DR71" s="510"/>
      <c r="DS71" s="282"/>
      <c r="DT71" s="541">
        <v>0</v>
      </c>
      <c r="DU71" s="541">
        <v>0</v>
      </c>
      <c r="DV71" s="490"/>
      <c r="DW71" s="490"/>
      <c r="DX71" s="511">
        <v>67948.34</v>
      </c>
      <c r="DY71" s="512">
        <v>0</v>
      </c>
      <c r="DZ71" s="513">
        <v>1622532.4933396194</v>
      </c>
      <c r="EA71" s="513">
        <v>0</v>
      </c>
      <c r="EB71" s="514">
        <v>3504</v>
      </c>
      <c r="EC71" s="514">
        <v>22184</v>
      </c>
      <c r="ED71" s="514">
        <v>-3185.652731254886</v>
      </c>
      <c r="EE71" s="494"/>
      <c r="EF71" s="513">
        <v>1645034.8406083644</v>
      </c>
      <c r="EG71" s="513">
        <v>1629806.3406083644</v>
      </c>
      <c r="EH71" s="515">
        <v>309</v>
      </c>
      <c r="EI71" s="516">
        <v>12960.668602874515</v>
      </c>
      <c r="EJ71" s="517"/>
      <c r="EL71" s="518"/>
      <c r="EM71" s="518">
        <v>1645034.8406083644</v>
      </c>
      <c r="EN71" s="518">
        <v>-67948.34</v>
      </c>
      <c r="EO71" s="518">
        <v>3185.652731254886</v>
      </c>
      <c r="EP71" s="518">
        <v>0</v>
      </c>
      <c r="EQ71" s="518">
        <v>0</v>
      </c>
      <c r="ER71" s="518">
        <v>0</v>
      </c>
      <c r="ES71" s="518">
        <v>-3504</v>
      </c>
      <c r="ET71" s="518">
        <v>-410850.88821681798</v>
      </c>
      <c r="EU71" s="518">
        <v>-22184</v>
      </c>
      <c r="EV71" s="518">
        <v>0</v>
      </c>
      <c r="EW71" s="518">
        <v>0</v>
      </c>
      <c r="EX71" s="518">
        <v>-22680.611130037629</v>
      </c>
      <c r="EY71" s="518">
        <v>-55623.303510881567</v>
      </c>
      <c r="EZ71" s="518">
        <v>1065429.3504818822</v>
      </c>
      <c r="FB71" s="518">
        <v>64762.68726874511</v>
      </c>
      <c r="FC71" s="518">
        <v>-410850.88821681798</v>
      </c>
      <c r="FF71" s="518">
        <v>1009503.3900369465</v>
      </c>
      <c r="FI71" s="488">
        <v>3725.2774492373505</v>
      </c>
      <c r="FK71" s="488">
        <v>307</v>
      </c>
      <c r="FL71" s="488">
        <v>21</v>
      </c>
      <c r="FM71" s="488">
        <v>286</v>
      </c>
    </row>
    <row r="72" spans="1:169" s="488" customFormat="1" x14ac:dyDescent="0.2">
      <c r="A72" s="489" t="s">
        <v>54</v>
      </c>
      <c r="B72" s="489" t="s">
        <v>860</v>
      </c>
      <c r="C72" s="489">
        <v>2458</v>
      </c>
      <c r="D72" s="488" t="s">
        <v>169</v>
      </c>
      <c r="E72" s="490"/>
      <c r="F72" s="490"/>
      <c r="G72" s="490"/>
      <c r="H72" s="490"/>
      <c r="I72" s="490"/>
      <c r="J72" s="490"/>
      <c r="K72" s="490"/>
      <c r="L72" s="490"/>
      <c r="M72" s="490"/>
      <c r="N72" s="528">
        <v>0</v>
      </c>
      <c r="O72" s="529">
        <v>0</v>
      </c>
      <c r="P72" s="530">
        <v>0</v>
      </c>
      <c r="Q72" s="528">
        <v>180</v>
      </c>
      <c r="R72" s="529">
        <v>267.66000000000003</v>
      </c>
      <c r="S72" s="530">
        <v>441059.30955410283</v>
      </c>
      <c r="T72" s="531">
        <v>90</v>
      </c>
      <c r="U72" s="529">
        <v>158.76</v>
      </c>
      <c r="V72" s="530">
        <v>261610.16208925261</v>
      </c>
      <c r="W72" s="491"/>
      <c r="X72" s="532">
        <v>0</v>
      </c>
      <c r="Y72" s="530">
        <v>0</v>
      </c>
      <c r="Z72" s="529">
        <v>270</v>
      </c>
      <c r="AA72" s="532">
        <v>426.42</v>
      </c>
      <c r="AB72" s="530">
        <v>702670</v>
      </c>
      <c r="AC72" s="490"/>
      <c r="AD72" s="490"/>
      <c r="AE72" s="490"/>
      <c r="AF72" s="490"/>
      <c r="AG72" s="490"/>
      <c r="AH72" s="490"/>
      <c r="AI72" s="533"/>
      <c r="AJ72" s="530">
        <v>0</v>
      </c>
      <c r="AK72" s="530">
        <v>0</v>
      </c>
      <c r="AL72" s="530">
        <v>5480.19</v>
      </c>
      <c r="AM72" s="534"/>
      <c r="AN72" s="530">
        <v>0</v>
      </c>
      <c r="AO72" s="535">
        <v>78.525000000000006</v>
      </c>
      <c r="AP72" s="530">
        <v>3021.2539465800564</v>
      </c>
      <c r="AQ72" s="536">
        <v>3</v>
      </c>
      <c r="AR72" s="530">
        <v>34020.916695056439</v>
      </c>
      <c r="AS72" s="490"/>
      <c r="AT72" s="536">
        <v>32.5</v>
      </c>
      <c r="AU72" s="536">
        <v>0</v>
      </c>
      <c r="AV72" s="537">
        <v>13.541666666666666</v>
      </c>
      <c r="AW72" s="538">
        <v>8133.7716173479403</v>
      </c>
      <c r="AX72" s="539"/>
      <c r="AY72" s="535">
        <v>0</v>
      </c>
      <c r="AZ72" s="540"/>
      <c r="BA72" s="499"/>
      <c r="BB72" s="528">
        <v>4</v>
      </c>
      <c r="BC72" s="528">
        <v>3046.9238377843717</v>
      </c>
      <c r="BD72" s="528">
        <v>8</v>
      </c>
      <c r="BE72" s="538">
        <v>2614.2715539208416</v>
      </c>
      <c r="BF72" s="535">
        <v>261</v>
      </c>
      <c r="BG72" s="535">
        <v>29</v>
      </c>
      <c r="BH72" s="535">
        <v>259</v>
      </c>
      <c r="BI72" s="535">
        <v>31</v>
      </c>
      <c r="BJ72" s="536">
        <v>270</v>
      </c>
      <c r="BK72" s="536">
        <v>32</v>
      </c>
      <c r="BL72" s="541">
        <v>263.33</v>
      </c>
      <c r="BM72" s="541">
        <v>30.67</v>
      </c>
      <c r="BN72" s="542">
        <v>11.65</v>
      </c>
      <c r="BO72" s="529">
        <v>31.46</v>
      </c>
      <c r="BP72" s="528">
        <v>46394.546905901538</v>
      </c>
      <c r="BQ72" s="536">
        <v>59</v>
      </c>
      <c r="BR72" s="530">
        <v>11857.31</v>
      </c>
      <c r="BS72" s="536">
        <v>76</v>
      </c>
      <c r="BT72" s="530">
        <v>15358.479771495682</v>
      </c>
      <c r="BU72" s="530">
        <v>258</v>
      </c>
      <c r="BV72" s="530">
        <v>58664.409269785741</v>
      </c>
      <c r="BW72" s="536">
        <v>7</v>
      </c>
      <c r="BX72" s="530">
        <v>5992.8219732683219</v>
      </c>
      <c r="BY72" s="500"/>
      <c r="BZ72" s="282"/>
      <c r="CA72" s="282"/>
      <c r="CB72" s="490"/>
      <c r="CC72" s="490"/>
      <c r="CD72" s="490"/>
      <c r="CE72" s="282"/>
      <c r="CF72" s="490"/>
      <c r="CG72" s="543">
        <v>270</v>
      </c>
      <c r="CH72" s="532" t="e">
        <v>#DIV/0!</v>
      </c>
      <c r="CI72" s="532" t="e">
        <v>#DIV/0!</v>
      </c>
      <c r="CJ72" s="544"/>
      <c r="CK72" s="490"/>
      <c r="CL72" s="545">
        <v>1211.18</v>
      </c>
      <c r="CM72" s="546">
        <v>2</v>
      </c>
      <c r="CN72" s="532">
        <v>2422.36</v>
      </c>
      <c r="CO72" s="530">
        <v>3467.23</v>
      </c>
      <c r="CP72" s="490"/>
      <c r="CQ72" s="490"/>
      <c r="CR72" s="490"/>
      <c r="CS72" s="490"/>
      <c r="CT72" s="490"/>
      <c r="CU72" s="490"/>
      <c r="CV72" s="490"/>
      <c r="CW72" s="490"/>
      <c r="CX72" s="490"/>
      <c r="CY72" s="547"/>
      <c r="CZ72" s="530">
        <v>0</v>
      </c>
      <c r="DA72" s="506">
        <v>3044</v>
      </c>
      <c r="DB72" s="548"/>
      <c r="DC72" s="537">
        <v>0</v>
      </c>
      <c r="DD72" s="530">
        <v>0</v>
      </c>
      <c r="DE72" s="490"/>
      <c r="DF72" s="529">
        <v>1</v>
      </c>
      <c r="DG72" s="549">
        <v>70073.495851086889</v>
      </c>
      <c r="DH72" s="550"/>
      <c r="DI72" s="530">
        <v>0</v>
      </c>
      <c r="DJ72" s="551"/>
      <c r="DK72" s="552"/>
      <c r="DL72" s="282"/>
      <c r="DM72" s="490"/>
      <c r="DN72" s="509"/>
      <c r="DO72" s="553">
        <v>0</v>
      </c>
      <c r="DP72" s="530">
        <v>0</v>
      </c>
      <c r="DQ72" s="282"/>
      <c r="DR72" s="510"/>
      <c r="DS72" s="282"/>
      <c r="DT72" s="541">
        <v>0</v>
      </c>
      <c r="DU72" s="541">
        <v>0</v>
      </c>
      <c r="DV72" s="490"/>
      <c r="DW72" s="490"/>
      <c r="DX72" s="511"/>
      <c r="DY72" s="512">
        <v>0</v>
      </c>
      <c r="DZ72" s="513">
        <v>973839.62142222782</v>
      </c>
      <c r="EA72" s="513">
        <v>0</v>
      </c>
      <c r="EB72" s="514">
        <v>10385</v>
      </c>
      <c r="EC72" s="514">
        <v>0</v>
      </c>
      <c r="ED72" s="514">
        <v>0</v>
      </c>
      <c r="EE72" s="494"/>
      <c r="EF72" s="513">
        <v>984224.62142222782</v>
      </c>
      <c r="EG72" s="513">
        <v>981180.62142222782</v>
      </c>
      <c r="EH72" s="515">
        <v>270</v>
      </c>
      <c r="EI72" s="516">
        <v>11324.856060764139</v>
      </c>
      <c r="EJ72" s="517"/>
      <c r="EL72" s="518"/>
      <c r="EM72" s="518">
        <v>984224.62142222782</v>
      </c>
      <c r="EN72" s="518">
        <v>0</v>
      </c>
      <c r="EO72" s="518">
        <v>0</v>
      </c>
      <c r="EP72" s="518">
        <v>0</v>
      </c>
      <c r="EQ72" s="518">
        <v>-8133.7716173479403</v>
      </c>
      <c r="ER72" s="518">
        <v>0</v>
      </c>
      <c r="ES72" s="518">
        <v>-10385</v>
      </c>
      <c r="ET72" s="518">
        <v>0</v>
      </c>
      <c r="EU72" s="518">
        <v>0</v>
      </c>
      <c r="EV72" s="518">
        <v>0</v>
      </c>
      <c r="EW72" s="518">
        <v>0</v>
      </c>
      <c r="EX72" s="518">
        <v>-34020.916695056439</v>
      </c>
      <c r="EY72" s="518">
        <v>0</v>
      </c>
      <c r="EZ72" s="518">
        <v>931684.93310982338</v>
      </c>
      <c r="FB72" s="518">
        <v>0</v>
      </c>
      <c r="FC72" s="518">
        <v>-8133.7716173479421</v>
      </c>
      <c r="FF72" s="518">
        <v>828626.01198673993</v>
      </c>
      <c r="FI72" s="488">
        <v>3476.4363175739677</v>
      </c>
      <c r="FK72" s="488">
        <v>268</v>
      </c>
      <c r="FL72" s="488">
        <v>0</v>
      </c>
      <c r="FM72" s="488">
        <v>268</v>
      </c>
    </row>
    <row r="73" spans="1:169" s="488" customFormat="1" x14ac:dyDescent="0.2">
      <c r="A73" s="489" t="s">
        <v>55</v>
      </c>
      <c r="B73" s="489" t="s">
        <v>861</v>
      </c>
      <c r="C73" s="489">
        <v>2001</v>
      </c>
      <c r="D73" s="488" t="s">
        <v>169</v>
      </c>
      <c r="E73" s="490"/>
      <c r="F73" s="490"/>
      <c r="G73" s="490"/>
      <c r="H73" s="490"/>
      <c r="I73" s="490"/>
      <c r="J73" s="490"/>
      <c r="K73" s="490"/>
      <c r="L73" s="490"/>
      <c r="M73" s="490"/>
      <c r="N73" s="528">
        <v>154</v>
      </c>
      <c r="O73" s="529">
        <v>240.11679999999998</v>
      </c>
      <c r="P73" s="530">
        <v>395672.68183643644</v>
      </c>
      <c r="Q73" s="528">
        <v>91</v>
      </c>
      <c r="R73" s="529">
        <v>135.31700000000001</v>
      </c>
      <c r="S73" s="530">
        <v>222979.98427457421</v>
      </c>
      <c r="T73" s="531">
        <v>46</v>
      </c>
      <c r="U73" s="529">
        <v>81.144000000000005</v>
      </c>
      <c r="V73" s="530">
        <v>133711.8606233958</v>
      </c>
      <c r="W73" s="491"/>
      <c r="X73" s="532">
        <v>0</v>
      </c>
      <c r="Y73" s="530">
        <v>0</v>
      </c>
      <c r="Z73" s="529">
        <v>291</v>
      </c>
      <c r="AA73" s="532">
        <v>456.57780000000002</v>
      </c>
      <c r="AB73" s="530">
        <v>752365</v>
      </c>
      <c r="AC73" s="490"/>
      <c r="AD73" s="490"/>
      <c r="AE73" s="490"/>
      <c r="AF73" s="490"/>
      <c r="AG73" s="490"/>
      <c r="AH73" s="490"/>
      <c r="AI73" s="533"/>
      <c r="AJ73" s="530">
        <v>0</v>
      </c>
      <c r="AK73" s="530">
        <v>0</v>
      </c>
      <c r="AL73" s="530">
        <v>5906.43</v>
      </c>
      <c r="AM73" s="534"/>
      <c r="AN73" s="530">
        <v>0</v>
      </c>
      <c r="AO73" s="535">
        <v>43.9</v>
      </c>
      <c r="AP73" s="530">
        <v>1689.0550557766887</v>
      </c>
      <c r="AQ73" s="536">
        <v>2</v>
      </c>
      <c r="AR73" s="530">
        <v>22680.611130037629</v>
      </c>
      <c r="AS73" s="490"/>
      <c r="AT73" s="536">
        <v>17.5</v>
      </c>
      <c r="AU73" s="536">
        <v>17.5</v>
      </c>
      <c r="AV73" s="537">
        <v>17.5</v>
      </c>
      <c r="AW73" s="538">
        <v>10511.335628572724</v>
      </c>
      <c r="AX73" s="539"/>
      <c r="AY73" s="535">
        <v>0</v>
      </c>
      <c r="AZ73" s="540"/>
      <c r="BA73" s="499"/>
      <c r="BB73" s="528">
        <v>3</v>
      </c>
      <c r="BC73" s="528">
        <v>2285.1928783382787</v>
      </c>
      <c r="BD73" s="528">
        <v>13</v>
      </c>
      <c r="BE73" s="538">
        <v>4248.1912751213677</v>
      </c>
      <c r="BF73" s="535">
        <v>296</v>
      </c>
      <c r="BG73" s="535">
        <v>157</v>
      </c>
      <c r="BH73" s="535">
        <v>291</v>
      </c>
      <c r="BI73" s="535">
        <v>136</v>
      </c>
      <c r="BJ73" s="536">
        <v>291</v>
      </c>
      <c r="BK73" s="536">
        <v>143</v>
      </c>
      <c r="BL73" s="541">
        <v>292.67</v>
      </c>
      <c r="BM73" s="541">
        <v>145.33000000000001</v>
      </c>
      <c r="BN73" s="542">
        <v>49.66</v>
      </c>
      <c r="BO73" s="529">
        <v>144.51</v>
      </c>
      <c r="BP73" s="528">
        <v>213111.12439198446</v>
      </c>
      <c r="BQ73" s="536">
        <v>23</v>
      </c>
      <c r="BR73" s="530">
        <v>4622.34</v>
      </c>
      <c r="BS73" s="536">
        <v>16</v>
      </c>
      <c r="BT73" s="530">
        <v>3233.3641624201437</v>
      </c>
      <c r="BU73" s="530">
        <v>647</v>
      </c>
      <c r="BV73" s="530">
        <v>147115.78603702085</v>
      </c>
      <c r="BW73" s="536">
        <v>29</v>
      </c>
      <c r="BX73" s="530">
        <v>24827.405317825906</v>
      </c>
      <c r="BY73" s="500"/>
      <c r="BZ73" s="282"/>
      <c r="CA73" s="282"/>
      <c r="CB73" s="490"/>
      <c r="CC73" s="490"/>
      <c r="CD73" s="490"/>
      <c r="CE73" s="282"/>
      <c r="CF73" s="490"/>
      <c r="CG73" s="543">
        <v>291</v>
      </c>
      <c r="CH73" s="532" t="e">
        <v>#DIV/0!</v>
      </c>
      <c r="CI73" s="532" t="e">
        <v>#DIV/0!</v>
      </c>
      <c r="CJ73" s="544"/>
      <c r="CK73" s="490"/>
      <c r="CL73" s="545">
        <v>2362.5196293095169</v>
      </c>
      <c r="CM73" s="546">
        <v>3</v>
      </c>
      <c r="CN73" s="532">
        <v>7087.5588879285506</v>
      </c>
      <c r="CO73" s="530">
        <v>10144.719999999999</v>
      </c>
      <c r="CP73" s="490"/>
      <c r="CQ73" s="490"/>
      <c r="CR73" s="490"/>
      <c r="CS73" s="490"/>
      <c r="CT73" s="490"/>
      <c r="CU73" s="490"/>
      <c r="CV73" s="490"/>
      <c r="CW73" s="490"/>
      <c r="CX73" s="490"/>
      <c r="CY73" s="547"/>
      <c r="CZ73" s="530">
        <v>0</v>
      </c>
      <c r="DA73" s="506">
        <v>17289.5</v>
      </c>
      <c r="DB73" s="548"/>
      <c r="DC73" s="537">
        <v>0</v>
      </c>
      <c r="DD73" s="530">
        <v>0</v>
      </c>
      <c r="DE73" s="490"/>
      <c r="DF73" s="529">
        <v>1</v>
      </c>
      <c r="DG73" s="549">
        <v>70073.495851086889</v>
      </c>
      <c r="DH73" s="550"/>
      <c r="DI73" s="530">
        <v>0</v>
      </c>
      <c r="DJ73" s="551"/>
      <c r="DK73" s="552"/>
      <c r="DL73" s="282"/>
      <c r="DM73" s="490"/>
      <c r="DN73" s="509"/>
      <c r="DO73" s="553">
        <v>0</v>
      </c>
      <c r="DP73" s="530">
        <v>0</v>
      </c>
      <c r="DQ73" s="282"/>
      <c r="DR73" s="510"/>
      <c r="DS73" s="282"/>
      <c r="DT73" s="541">
        <v>0</v>
      </c>
      <c r="DU73" s="541">
        <v>0</v>
      </c>
      <c r="DV73" s="490"/>
      <c r="DW73" s="490"/>
      <c r="DX73" s="511">
        <v>149591.92240000001</v>
      </c>
      <c r="DY73" s="512">
        <v>0</v>
      </c>
      <c r="DZ73" s="513">
        <v>1439695.4741281851</v>
      </c>
      <c r="EA73" s="513">
        <v>0</v>
      </c>
      <c r="EB73" s="514">
        <v>0</v>
      </c>
      <c r="EC73" s="514">
        <v>0</v>
      </c>
      <c r="ED73" s="514">
        <v>13978.400800000003</v>
      </c>
      <c r="EE73" s="494"/>
      <c r="EF73" s="513">
        <v>1453673.874928185</v>
      </c>
      <c r="EG73" s="513">
        <v>1436384.374928185</v>
      </c>
      <c r="EH73" s="515">
        <v>291</v>
      </c>
      <c r="EI73" s="516">
        <v>12205.678198823573</v>
      </c>
      <c r="EJ73" s="517"/>
      <c r="EL73" s="518"/>
      <c r="EM73" s="518">
        <v>1453673.874928185</v>
      </c>
      <c r="EN73" s="518">
        <v>-149591.92240000001</v>
      </c>
      <c r="EO73" s="518">
        <v>-13978.400800000003</v>
      </c>
      <c r="EP73" s="518">
        <v>0</v>
      </c>
      <c r="EQ73" s="518">
        <v>-10511.335628572724</v>
      </c>
      <c r="ER73" s="518">
        <v>0</v>
      </c>
      <c r="ES73" s="518">
        <v>0</v>
      </c>
      <c r="ET73" s="518">
        <v>0</v>
      </c>
      <c r="EU73" s="518">
        <v>0</v>
      </c>
      <c r="EV73" s="518">
        <v>0</v>
      </c>
      <c r="EW73" s="518">
        <v>0</v>
      </c>
      <c r="EX73" s="518">
        <v>-22680.611130037629</v>
      </c>
      <c r="EY73" s="518">
        <v>0</v>
      </c>
      <c r="EZ73" s="518">
        <v>1256911.6049695748</v>
      </c>
      <c r="FB73" s="518">
        <v>163570.32320000001</v>
      </c>
      <c r="FC73" s="518">
        <v>-10511.335628572724</v>
      </c>
      <c r="FF73" s="518">
        <v>1144326.8486251694</v>
      </c>
      <c r="FI73" s="488">
        <v>4334.1779481709473</v>
      </c>
      <c r="FK73" s="488">
        <v>290</v>
      </c>
      <c r="FL73" s="488">
        <v>0</v>
      </c>
      <c r="FM73" s="488">
        <v>290</v>
      </c>
    </row>
    <row r="74" spans="1:169" s="488" customFormat="1" x14ac:dyDescent="0.2">
      <c r="A74" s="489" t="s">
        <v>56</v>
      </c>
      <c r="B74" s="489" t="s">
        <v>862</v>
      </c>
      <c r="C74" s="489">
        <v>2429</v>
      </c>
      <c r="D74" s="488" t="s">
        <v>169</v>
      </c>
      <c r="E74" s="490"/>
      <c r="F74" s="490"/>
      <c r="G74" s="490"/>
      <c r="H74" s="490"/>
      <c r="I74" s="490"/>
      <c r="J74" s="490"/>
      <c r="K74" s="490"/>
      <c r="L74" s="490"/>
      <c r="M74" s="490"/>
      <c r="N74" s="528">
        <v>0</v>
      </c>
      <c r="O74" s="529">
        <v>0</v>
      </c>
      <c r="P74" s="530">
        <v>0</v>
      </c>
      <c r="Q74" s="528">
        <v>103</v>
      </c>
      <c r="R74" s="529">
        <v>153.161</v>
      </c>
      <c r="S74" s="530">
        <v>252383.9382448477</v>
      </c>
      <c r="T74" s="531">
        <v>52</v>
      </c>
      <c r="U74" s="529">
        <v>91.727999999999994</v>
      </c>
      <c r="V74" s="530">
        <v>151152.53809601261</v>
      </c>
      <c r="W74" s="491"/>
      <c r="X74" s="532">
        <v>0</v>
      </c>
      <c r="Y74" s="530">
        <v>0</v>
      </c>
      <c r="Z74" s="529">
        <v>155</v>
      </c>
      <c r="AA74" s="532">
        <v>244.88900000000001</v>
      </c>
      <c r="AB74" s="530">
        <v>403537</v>
      </c>
      <c r="AC74" s="490"/>
      <c r="AD74" s="490"/>
      <c r="AE74" s="490"/>
      <c r="AF74" s="490"/>
      <c r="AG74" s="490"/>
      <c r="AH74" s="490"/>
      <c r="AI74" s="533"/>
      <c r="AJ74" s="530">
        <v>0</v>
      </c>
      <c r="AK74" s="530">
        <v>0</v>
      </c>
      <c r="AL74" s="530">
        <v>3146.03</v>
      </c>
      <c r="AM74" s="534"/>
      <c r="AN74" s="530">
        <v>0</v>
      </c>
      <c r="AO74" s="535">
        <v>46.5</v>
      </c>
      <c r="AP74" s="530">
        <v>1789.0902071438727</v>
      </c>
      <c r="AQ74" s="536">
        <v>2</v>
      </c>
      <c r="AR74" s="530">
        <v>22680.611130037629</v>
      </c>
      <c r="AS74" s="490"/>
      <c r="AT74" s="536">
        <v>52.5</v>
      </c>
      <c r="AU74" s="536">
        <v>0</v>
      </c>
      <c r="AV74" s="537">
        <v>21.875</v>
      </c>
      <c r="AW74" s="538">
        <v>13139.169535715904</v>
      </c>
      <c r="AX74" s="539"/>
      <c r="AY74" s="535">
        <v>0</v>
      </c>
      <c r="AZ74" s="540"/>
      <c r="BA74" s="499"/>
      <c r="BB74" s="528">
        <v>6</v>
      </c>
      <c r="BC74" s="528">
        <v>4570.3857566765573</v>
      </c>
      <c r="BD74" s="528">
        <v>12</v>
      </c>
      <c r="BE74" s="538">
        <v>3921.4073308812622</v>
      </c>
      <c r="BF74" s="535">
        <v>154</v>
      </c>
      <c r="BG74" s="535">
        <v>38.5</v>
      </c>
      <c r="BH74" s="535">
        <v>150</v>
      </c>
      <c r="BI74" s="535">
        <v>38</v>
      </c>
      <c r="BJ74" s="536">
        <v>155</v>
      </c>
      <c r="BK74" s="536">
        <v>41</v>
      </c>
      <c r="BL74" s="541">
        <v>153</v>
      </c>
      <c r="BM74" s="541">
        <v>39.17</v>
      </c>
      <c r="BN74" s="542">
        <v>25.6</v>
      </c>
      <c r="BO74" s="529">
        <v>39.68</v>
      </c>
      <c r="BP74" s="528">
        <v>58516.70760413773</v>
      </c>
      <c r="BQ74" s="536">
        <v>112</v>
      </c>
      <c r="BR74" s="530">
        <v>22508.799999999999</v>
      </c>
      <c r="BS74" s="536">
        <v>134</v>
      </c>
      <c r="BT74" s="530">
        <v>27079.424860268704</v>
      </c>
      <c r="BU74" s="530">
        <v>448</v>
      </c>
      <c r="BV74" s="530">
        <v>101866.88121265122</v>
      </c>
      <c r="BW74" s="536">
        <v>10</v>
      </c>
      <c r="BX74" s="530">
        <v>8561.1742475261744</v>
      </c>
      <c r="BY74" s="500"/>
      <c r="BZ74" s="282"/>
      <c r="CA74" s="282"/>
      <c r="CB74" s="490"/>
      <c r="CC74" s="490"/>
      <c r="CD74" s="490"/>
      <c r="CE74" s="282"/>
      <c r="CF74" s="490"/>
      <c r="CG74" s="543">
        <v>155</v>
      </c>
      <c r="CH74" s="532" t="e">
        <v>#DIV/0!</v>
      </c>
      <c r="CI74" s="532" t="e">
        <v>#DIV/0!</v>
      </c>
      <c r="CJ74" s="544"/>
      <c r="CK74" s="490"/>
      <c r="CL74" s="545">
        <v>1009.3304778327863</v>
      </c>
      <c r="CM74" s="546">
        <v>4</v>
      </c>
      <c r="CN74" s="532">
        <v>4037.3219113311452</v>
      </c>
      <c r="CO74" s="530">
        <v>5778.79</v>
      </c>
      <c r="CP74" s="490"/>
      <c r="CQ74" s="490"/>
      <c r="CR74" s="490"/>
      <c r="CS74" s="490"/>
      <c r="CT74" s="490"/>
      <c r="CU74" s="490"/>
      <c r="CV74" s="490"/>
      <c r="CW74" s="490"/>
      <c r="CX74" s="490"/>
      <c r="CY74" s="547"/>
      <c r="CZ74" s="530">
        <v>0</v>
      </c>
      <c r="DA74" s="506">
        <v>8473</v>
      </c>
      <c r="DB74" s="548"/>
      <c r="DC74" s="537">
        <v>0</v>
      </c>
      <c r="DD74" s="530">
        <v>0</v>
      </c>
      <c r="DE74" s="490"/>
      <c r="DF74" s="529">
        <v>1</v>
      </c>
      <c r="DG74" s="549">
        <v>74722.185859261808</v>
      </c>
      <c r="DH74" s="550"/>
      <c r="DI74" s="530">
        <v>0</v>
      </c>
      <c r="DJ74" s="551"/>
      <c r="DK74" s="552"/>
      <c r="DL74" s="282"/>
      <c r="DM74" s="490"/>
      <c r="DN74" s="509"/>
      <c r="DO74" s="553">
        <v>0</v>
      </c>
      <c r="DP74" s="530">
        <v>0</v>
      </c>
      <c r="DQ74" s="282"/>
      <c r="DR74" s="510"/>
      <c r="DS74" s="282"/>
      <c r="DT74" s="541">
        <v>0</v>
      </c>
      <c r="DU74" s="541">
        <v>0</v>
      </c>
      <c r="DV74" s="490"/>
      <c r="DW74" s="490"/>
      <c r="DX74" s="511">
        <v>141086.4694</v>
      </c>
      <c r="DY74" s="512">
        <v>0</v>
      </c>
      <c r="DZ74" s="513">
        <v>901377.12714430108</v>
      </c>
      <c r="EA74" s="513">
        <v>0</v>
      </c>
      <c r="EB74" s="514">
        <v>10511</v>
      </c>
      <c r="EC74" s="514">
        <v>0</v>
      </c>
      <c r="ED74" s="514">
        <v>-11780.647999999986</v>
      </c>
      <c r="EE74" s="494"/>
      <c r="EF74" s="513">
        <v>900107.47914430103</v>
      </c>
      <c r="EG74" s="513">
        <v>891634.47914430103</v>
      </c>
      <c r="EH74" s="515">
        <v>155</v>
      </c>
      <c r="EI74" s="516">
        <v>6501.3062571053397</v>
      </c>
      <c r="EJ74" s="517"/>
      <c r="EL74" s="518"/>
      <c r="EM74" s="518">
        <v>900107.47914430103</v>
      </c>
      <c r="EN74" s="518">
        <v>-141086.4694</v>
      </c>
      <c r="EO74" s="518">
        <v>11780.647999999986</v>
      </c>
      <c r="EP74" s="518">
        <v>0</v>
      </c>
      <c r="EQ74" s="518">
        <v>-13139.169535715904</v>
      </c>
      <c r="ER74" s="518">
        <v>0</v>
      </c>
      <c r="ES74" s="518">
        <v>-10511</v>
      </c>
      <c r="ET74" s="518">
        <v>0</v>
      </c>
      <c r="EU74" s="518">
        <v>0</v>
      </c>
      <c r="EV74" s="518">
        <v>0</v>
      </c>
      <c r="EW74" s="518">
        <v>0</v>
      </c>
      <c r="EX74" s="518">
        <v>-22680.611130037629</v>
      </c>
      <c r="EY74" s="518">
        <v>0</v>
      </c>
      <c r="EZ74" s="518">
        <v>724470.87707854749</v>
      </c>
      <c r="FB74" s="518">
        <v>129305.82140000002</v>
      </c>
      <c r="FC74" s="518">
        <v>-13139.169535715904</v>
      </c>
      <c r="FF74" s="518">
        <v>599560.94882099167</v>
      </c>
      <c r="FI74" s="488">
        <v>4797.8203780036256</v>
      </c>
      <c r="FK74" s="488">
        <v>151</v>
      </c>
      <c r="FL74" s="488">
        <v>0</v>
      </c>
      <c r="FM74" s="488">
        <v>151</v>
      </c>
    </row>
    <row r="75" spans="1:169" s="488" customFormat="1" x14ac:dyDescent="0.2">
      <c r="A75" s="489" t="s">
        <v>57</v>
      </c>
      <c r="B75" s="489" t="s">
        <v>863</v>
      </c>
      <c r="C75" s="489">
        <v>2444</v>
      </c>
      <c r="D75" s="488" t="s">
        <v>169</v>
      </c>
      <c r="E75" s="490"/>
      <c r="F75" s="490"/>
      <c r="G75" s="490"/>
      <c r="H75" s="490"/>
      <c r="I75" s="490"/>
      <c r="J75" s="490"/>
      <c r="K75" s="490"/>
      <c r="L75" s="490"/>
      <c r="M75" s="490"/>
      <c r="N75" s="528">
        <v>0</v>
      </c>
      <c r="O75" s="529">
        <v>0</v>
      </c>
      <c r="P75" s="530">
        <v>0</v>
      </c>
      <c r="Q75" s="528">
        <v>139</v>
      </c>
      <c r="R75" s="529">
        <v>206.69300000000001</v>
      </c>
      <c r="S75" s="530">
        <v>340595.80015566829</v>
      </c>
      <c r="T75" s="531">
        <v>70</v>
      </c>
      <c r="U75" s="529">
        <v>123.48</v>
      </c>
      <c r="V75" s="530">
        <v>203474.57051386315</v>
      </c>
      <c r="W75" s="491"/>
      <c r="X75" s="532">
        <v>0</v>
      </c>
      <c r="Y75" s="530">
        <v>0</v>
      </c>
      <c r="Z75" s="529">
        <v>209</v>
      </c>
      <c r="AA75" s="532">
        <v>330.173</v>
      </c>
      <c r="AB75" s="530">
        <v>544071</v>
      </c>
      <c r="AC75" s="490"/>
      <c r="AD75" s="490"/>
      <c r="AE75" s="490"/>
      <c r="AF75" s="490"/>
      <c r="AG75" s="490"/>
      <c r="AH75" s="490"/>
      <c r="AI75" s="533"/>
      <c r="AJ75" s="530">
        <v>0</v>
      </c>
      <c r="AK75" s="530">
        <v>0</v>
      </c>
      <c r="AL75" s="530">
        <v>4242.07</v>
      </c>
      <c r="AM75" s="534"/>
      <c r="AN75" s="530">
        <v>0</v>
      </c>
      <c r="AO75" s="535">
        <v>65</v>
      </c>
      <c r="AP75" s="530">
        <v>2500.878784179607</v>
      </c>
      <c r="AQ75" s="536">
        <v>3</v>
      </c>
      <c r="AR75" s="530">
        <v>34020.916695056439</v>
      </c>
      <c r="AS75" s="490"/>
      <c r="AT75" s="536">
        <v>35</v>
      </c>
      <c r="AU75" s="536">
        <v>0</v>
      </c>
      <c r="AV75" s="537">
        <v>14.583333333333334</v>
      </c>
      <c r="AW75" s="538">
        <v>8759.4463571439355</v>
      </c>
      <c r="AX75" s="539"/>
      <c r="AY75" s="535">
        <v>0</v>
      </c>
      <c r="AZ75" s="540"/>
      <c r="BA75" s="499"/>
      <c r="BB75" s="528">
        <v>3</v>
      </c>
      <c r="BC75" s="528">
        <v>2285.1928783382787</v>
      </c>
      <c r="BD75" s="528">
        <v>6</v>
      </c>
      <c r="BE75" s="538">
        <v>1960.7036654406311</v>
      </c>
      <c r="BF75" s="535">
        <v>210</v>
      </c>
      <c r="BG75" s="535">
        <v>51</v>
      </c>
      <c r="BH75" s="535">
        <v>210</v>
      </c>
      <c r="BI75" s="535">
        <v>41</v>
      </c>
      <c r="BJ75" s="536">
        <v>209</v>
      </c>
      <c r="BK75" s="536">
        <v>39</v>
      </c>
      <c r="BL75" s="541">
        <v>209.67</v>
      </c>
      <c r="BM75" s="541">
        <v>43.67</v>
      </c>
      <c r="BN75" s="542">
        <v>20.83</v>
      </c>
      <c r="BO75" s="529">
        <v>43.53</v>
      </c>
      <c r="BP75" s="528">
        <v>64194.361945769037</v>
      </c>
      <c r="BQ75" s="536">
        <v>10</v>
      </c>
      <c r="BR75" s="530">
        <v>2009.71</v>
      </c>
      <c r="BS75" s="536">
        <v>20</v>
      </c>
      <c r="BT75" s="530">
        <v>4041.7052030251798</v>
      </c>
      <c r="BU75" s="530">
        <v>340</v>
      </c>
      <c r="BV75" s="530">
        <v>77309.68663460137</v>
      </c>
      <c r="BW75" s="536">
        <v>8</v>
      </c>
      <c r="BX75" s="530">
        <v>6848.9393980209397</v>
      </c>
      <c r="BY75" s="500"/>
      <c r="BZ75" s="282"/>
      <c r="CA75" s="282"/>
      <c r="CB75" s="490"/>
      <c r="CC75" s="490"/>
      <c r="CD75" s="490"/>
      <c r="CE75" s="282"/>
      <c r="CF75" s="490"/>
      <c r="CG75" s="543">
        <v>209</v>
      </c>
      <c r="CH75" s="532" t="e">
        <v>#DIV/0!</v>
      </c>
      <c r="CI75" s="532" t="e">
        <v>#DIV/0!</v>
      </c>
      <c r="CJ75" s="544"/>
      <c r="CK75" s="490"/>
      <c r="CL75" s="545">
        <v>1108.9809287298681</v>
      </c>
      <c r="CM75" s="546">
        <v>2</v>
      </c>
      <c r="CN75" s="532">
        <v>2217.9618574597362</v>
      </c>
      <c r="CO75" s="530">
        <v>3174.66</v>
      </c>
      <c r="CP75" s="490"/>
      <c r="CQ75" s="490"/>
      <c r="CR75" s="490"/>
      <c r="CS75" s="490"/>
      <c r="CT75" s="490"/>
      <c r="CU75" s="490"/>
      <c r="CV75" s="490"/>
      <c r="CW75" s="490"/>
      <c r="CX75" s="490"/>
      <c r="CY75" s="547"/>
      <c r="CZ75" s="530">
        <v>0</v>
      </c>
      <c r="DA75" s="506">
        <v>8816.5</v>
      </c>
      <c r="DB75" s="548"/>
      <c r="DC75" s="537">
        <v>0</v>
      </c>
      <c r="DD75" s="530">
        <v>0</v>
      </c>
      <c r="DE75" s="490"/>
      <c r="DF75" s="529">
        <v>1</v>
      </c>
      <c r="DG75" s="549">
        <v>70073.495851086889</v>
      </c>
      <c r="DH75" s="550"/>
      <c r="DI75" s="530">
        <v>0</v>
      </c>
      <c r="DJ75" s="551"/>
      <c r="DK75" s="552"/>
      <c r="DL75" s="282"/>
      <c r="DM75" s="490"/>
      <c r="DN75" s="509"/>
      <c r="DO75" s="553">
        <v>0</v>
      </c>
      <c r="DP75" s="530">
        <v>0</v>
      </c>
      <c r="DQ75" s="282"/>
      <c r="DR75" s="510"/>
      <c r="DS75" s="282"/>
      <c r="DT75" s="541">
        <v>0</v>
      </c>
      <c r="DU75" s="541">
        <v>0</v>
      </c>
      <c r="DV75" s="490"/>
      <c r="DW75" s="490"/>
      <c r="DX75" s="511">
        <v>116437.85</v>
      </c>
      <c r="DY75" s="512">
        <v>0</v>
      </c>
      <c r="DZ75" s="513">
        <v>950747.11741266225</v>
      </c>
      <c r="EA75" s="513">
        <v>0</v>
      </c>
      <c r="EB75" s="514">
        <v>25466</v>
      </c>
      <c r="EC75" s="514">
        <v>0</v>
      </c>
      <c r="ED75" s="514">
        <v>-4943.4777999999933</v>
      </c>
      <c r="EE75" s="494"/>
      <c r="EF75" s="513">
        <v>971269.63961266226</v>
      </c>
      <c r="EG75" s="513">
        <v>962453.13961266226</v>
      </c>
      <c r="EH75" s="515">
        <v>209</v>
      </c>
      <c r="EI75" s="516">
        <v>8766.2774692581679</v>
      </c>
      <c r="EJ75" s="517"/>
      <c r="EL75" s="518"/>
      <c r="EM75" s="518">
        <v>971269.63961266226</v>
      </c>
      <c r="EN75" s="518">
        <v>-116437.85</v>
      </c>
      <c r="EO75" s="518">
        <v>4943.4777999999933</v>
      </c>
      <c r="EP75" s="518">
        <v>0</v>
      </c>
      <c r="EQ75" s="518">
        <v>-8759.4463571439355</v>
      </c>
      <c r="ER75" s="518">
        <v>0</v>
      </c>
      <c r="ES75" s="518">
        <v>-25466</v>
      </c>
      <c r="ET75" s="518">
        <v>0</v>
      </c>
      <c r="EU75" s="518">
        <v>0</v>
      </c>
      <c r="EV75" s="518">
        <v>0</v>
      </c>
      <c r="EW75" s="518">
        <v>0</v>
      </c>
      <c r="EX75" s="518">
        <v>-34020.916695056439</v>
      </c>
      <c r="EY75" s="518">
        <v>0</v>
      </c>
      <c r="EZ75" s="518">
        <v>791528.90436046186</v>
      </c>
      <c r="FB75" s="518">
        <v>111494.37220000001</v>
      </c>
      <c r="FC75" s="518">
        <v>-8759.4463571439337</v>
      </c>
      <c r="FF75" s="518">
        <v>696718.89085672959</v>
      </c>
      <c r="FI75" s="488">
        <v>3787.2196380883342</v>
      </c>
      <c r="FK75" s="488">
        <v>209</v>
      </c>
      <c r="FL75" s="488">
        <v>0</v>
      </c>
      <c r="FM75" s="488">
        <v>209</v>
      </c>
    </row>
    <row r="76" spans="1:169" s="488" customFormat="1" x14ac:dyDescent="0.2">
      <c r="A76" s="489" t="s">
        <v>58</v>
      </c>
      <c r="B76" s="489" t="s">
        <v>864</v>
      </c>
      <c r="C76" s="489">
        <v>5209</v>
      </c>
      <c r="D76" s="488" t="s">
        <v>169</v>
      </c>
      <c r="E76" s="490"/>
      <c r="F76" s="490"/>
      <c r="G76" s="490"/>
      <c r="H76" s="490"/>
      <c r="I76" s="490"/>
      <c r="J76" s="490"/>
      <c r="K76" s="490"/>
      <c r="L76" s="490"/>
      <c r="M76" s="490"/>
      <c r="N76" s="528">
        <v>269</v>
      </c>
      <c r="O76" s="529">
        <v>419.4248</v>
      </c>
      <c r="P76" s="530">
        <v>691142.54164935986</v>
      </c>
      <c r="Q76" s="528">
        <v>0</v>
      </c>
      <c r="R76" s="529">
        <v>0</v>
      </c>
      <c r="S76" s="530">
        <v>0</v>
      </c>
      <c r="T76" s="531">
        <v>0</v>
      </c>
      <c r="U76" s="529">
        <v>0</v>
      </c>
      <c r="V76" s="530">
        <v>0</v>
      </c>
      <c r="W76" s="491"/>
      <c r="X76" s="532">
        <v>0</v>
      </c>
      <c r="Y76" s="530">
        <v>0</v>
      </c>
      <c r="Z76" s="529">
        <v>269</v>
      </c>
      <c r="AA76" s="532">
        <v>419.4248</v>
      </c>
      <c r="AB76" s="530">
        <v>691143</v>
      </c>
      <c r="AC76" s="490"/>
      <c r="AD76" s="490"/>
      <c r="AE76" s="490"/>
      <c r="AF76" s="490"/>
      <c r="AG76" s="490"/>
      <c r="AH76" s="490"/>
      <c r="AI76" s="533"/>
      <c r="AJ76" s="530">
        <v>269</v>
      </c>
      <c r="AK76" s="530">
        <v>4654.8900000000003</v>
      </c>
      <c r="AL76" s="530">
        <v>5459.89</v>
      </c>
      <c r="AM76" s="534"/>
      <c r="AN76" s="530">
        <v>0</v>
      </c>
      <c r="AO76" s="535">
        <v>83.6</v>
      </c>
      <c r="AP76" s="530">
        <v>3216.5148670371559</v>
      </c>
      <c r="AQ76" s="536">
        <v>0</v>
      </c>
      <c r="AR76" s="530">
        <v>0</v>
      </c>
      <c r="AS76" s="490"/>
      <c r="AT76" s="536">
        <v>17.5</v>
      </c>
      <c r="AU76" s="536">
        <v>0</v>
      </c>
      <c r="AV76" s="537">
        <v>7.291666666666667</v>
      </c>
      <c r="AW76" s="538">
        <v>4379.7231785719678</v>
      </c>
      <c r="AX76" s="539"/>
      <c r="AY76" s="535">
        <v>0</v>
      </c>
      <c r="AZ76" s="540"/>
      <c r="BA76" s="499"/>
      <c r="BB76" s="528">
        <v>1</v>
      </c>
      <c r="BC76" s="528">
        <v>761.73095944609292</v>
      </c>
      <c r="BD76" s="528">
        <v>9</v>
      </c>
      <c r="BE76" s="538">
        <v>2941.0554981609466</v>
      </c>
      <c r="BF76" s="535">
        <v>280</v>
      </c>
      <c r="BG76" s="535">
        <v>58</v>
      </c>
      <c r="BH76" s="535">
        <v>264</v>
      </c>
      <c r="BI76" s="535">
        <v>75</v>
      </c>
      <c r="BJ76" s="536">
        <v>269</v>
      </c>
      <c r="BK76" s="536">
        <v>67</v>
      </c>
      <c r="BL76" s="541">
        <v>271</v>
      </c>
      <c r="BM76" s="541">
        <v>66.67</v>
      </c>
      <c r="BN76" s="542">
        <v>24.6</v>
      </c>
      <c r="BO76" s="529">
        <v>66.17</v>
      </c>
      <c r="BP76" s="528">
        <v>97581.918905387938</v>
      </c>
      <c r="BQ76" s="536">
        <v>9</v>
      </c>
      <c r="BR76" s="530">
        <v>1808.74</v>
      </c>
      <c r="BS76" s="536">
        <v>27</v>
      </c>
      <c r="BT76" s="530">
        <v>5456.3020240839924</v>
      </c>
      <c r="BU76" s="530">
        <v>474</v>
      </c>
      <c r="BV76" s="530">
        <v>107778.79842588544</v>
      </c>
      <c r="BW76" s="536">
        <v>10</v>
      </c>
      <c r="BX76" s="530">
        <v>8561.1742475261744</v>
      </c>
      <c r="BY76" s="500"/>
      <c r="BZ76" s="282"/>
      <c r="CA76" s="282"/>
      <c r="CB76" s="490"/>
      <c r="CC76" s="490"/>
      <c r="CD76" s="490"/>
      <c r="CE76" s="282"/>
      <c r="CF76" s="490"/>
      <c r="CG76" s="543">
        <v>269</v>
      </c>
      <c r="CH76" s="532" t="e">
        <v>#DIV/0!</v>
      </c>
      <c r="CI76" s="532" t="e">
        <v>#DIV/0!</v>
      </c>
      <c r="CJ76" s="544"/>
      <c r="CK76" s="490"/>
      <c r="CL76" s="545">
        <v>1795.43</v>
      </c>
      <c r="CM76" s="546">
        <v>2</v>
      </c>
      <c r="CN76" s="532">
        <v>3590.86</v>
      </c>
      <c r="CO76" s="530">
        <v>5139.75</v>
      </c>
      <c r="CP76" s="490"/>
      <c r="CQ76" s="490"/>
      <c r="CR76" s="490"/>
      <c r="CS76" s="490"/>
      <c r="CT76" s="490"/>
      <c r="CU76" s="490"/>
      <c r="CV76" s="490"/>
      <c r="CW76" s="490"/>
      <c r="CX76" s="490"/>
      <c r="CY76" s="547"/>
      <c r="CZ76" s="530">
        <v>0</v>
      </c>
      <c r="DA76" s="506">
        <v>2312.9</v>
      </c>
      <c r="DB76" s="548">
        <v>2339970</v>
      </c>
      <c r="DC76" s="537">
        <v>23.399699999999999</v>
      </c>
      <c r="DD76" s="530">
        <v>4468.0600000000004</v>
      </c>
      <c r="DE76" s="490"/>
      <c r="DF76" s="529">
        <v>1</v>
      </c>
      <c r="DG76" s="549">
        <v>70073.495851086889</v>
      </c>
      <c r="DH76" s="550"/>
      <c r="DI76" s="530">
        <v>0</v>
      </c>
      <c r="DJ76" s="551"/>
      <c r="DK76" s="552"/>
      <c r="DL76" s="282"/>
      <c r="DM76" s="490"/>
      <c r="DN76" s="509"/>
      <c r="DO76" s="553">
        <v>1</v>
      </c>
      <c r="DP76" s="530">
        <v>929.02180297487155</v>
      </c>
      <c r="DQ76" s="282"/>
      <c r="DR76" s="510"/>
      <c r="DS76" s="282"/>
      <c r="DT76" s="541">
        <v>0</v>
      </c>
      <c r="DU76" s="541">
        <v>0</v>
      </c>
      <c r="DV76" s="490"/>
      <c r="DW76" s="490"/>
      <c r="DX76" s="511"/>
      <c r="DY76" s="512">
        <v>0</v>
      </c>
      <c r="DZ76" s="513">
        <v>1016666.9657601618</v>
      </c>
      <c r="EA76" s="513">
        <v>0</v>
      </c>
      <c r="EB76" s="514">
        <v>0</v>
      </c>
      <c r="EC76" s="514">
        <v>0</v>
      </c>
      <c r="ED76" s="514">
        <v>0</v>
      </c>
      <c r="EE76" s="494"/>
      <c r="EF76" s="513">
        <v>1016666.9657601618</v>
      </c>
      <c r="EG76" s="513">
        <v>1014354.0657601617</v>
      </c>
      <c r="EH76" s="515">
        <v>269</v>
      </c>
      <c r="EI76" s="516">
        <v>11282.912149427977</v>
      </c>
      <c r="EJ76" s="517"/>
      <c r="EL76" s="518"/>
      <c r="EM76" s="518">
        <v>1016666.9657601618</v>
      </c>
      <c r="EN76" s="518">
        <v>0</v>
      </c>
      <c r="EO76" s="518">
        <v>0</v>
      </c>
      <c r="EP76" s="518">
        <v>0</v>
      </c>
      <c r="EQ76" s="518">
        <v>-4379.7231785719678</v>
      </c>
      <c r="ER76" s="518">
        <v>0</v>
      </c>
      <c r="ES76" s="518">
        <v>0</v>
      </c>
      <c r="ET76" s="518">
        <v>0</v>
      </c>
      <c r="EU76" s="518">
        <v>0</v>
      </c>
      <c r="EV76" s="518">
        <v>0</v>
      </c>
      <c r="EW76" s="518">
        <v>0</v>
      </c>
      <c r="EX76" s="518">
        <v>0</v>
      </c>
      <c r="EY76" s="518">
        <v>0</v>
      </c>
      <c r="EZ76" s="518">
        <v>1012287.2425815897</v>
      </c>
      <c r="FB76" s="518">
        <v>0</v>
      </c>
      <c r="FC76" s="518">
        <v>-4379.7231785719678</v>
      </c>
      <c r="FF76" s="518">
        <v>908564.38434122049</v>
      </c>
      <c r="FI76" s="488">
        <v>3819.9518587984517</v>
      </c>
      <c r="FK76" s="488">
        <v>265</v>
      </c>
      <c r="FL76" s="488">
        <v>0</v>
      </c>
      <c r="FM76" s="488">
        <v>265</v>
      </c>
    </row>
    <row r="77" spans="1:169" s="488" customFormat="1" x14ac:dyDescent="0.2">
      <c r="A77" s="489" t="s">
        <v>59</v>
      </c>
      <c r="B77" s="489" t="s">
        <v>865</v>
      </c>
      <c r="C77" s="489">
        <v>2469</v>
      </c>
      <c r="D77" s="488" t="s">
        <v>169</v>
      </c>
      <c r="E77" s="490"/>
      <c r="F77" s="490"/>
      <c r="G77" s="490"/>
      <c r="H77" s="490"/>
      <c r="I77" s="490"/>
      <c r="J77" s="490"/>
      <c r="K77" s="490"/>
      <c r="L77" s="490"/>
      <c r="M77" s="490"/>
      <c r="N77" s="528">
        <v>201</v>
      </c>
      <c r="O77" s="529">
        <v>313.39920000000001</v>
      </c>
      <c r="P77" s="530">
        <v>516429.92889041384</v>
      </c>
      <c r="Q77" s="528">
        <v>109</v>
      </c>
      <c r="R77" s="529">
        <v>162.083</v>
      </c>
      <c r="S77" s="530">
        <v>267085.91522998444</v>
      </c>
      <c r="T77" s="531">
        <v>54</v>
      </c>
      <c r="U77" s="529">
        <v>95.256</v>
      </c>
      <c r="V77" s="530">
        <v>156966.09725355156</v>
      </c>
      <c r="W77" s="491"/>
      <c r="X77" s="532">
        <v>0</v>
      </c>
      <c r="Y77" s="530">
        <v>0</v>
      </c>
      <c r="Z77" s="529">
        <v>364</v>
      </c>
      <c r="AA77" s="532">
        <v>570.73820000000001</v>
      </c>
      <c r="AB77" s="530">
        <v>940482</v>
      </c>
      <c r="AC77" s="490"/>
      <c r="AD77" s="490"/>
      <c r="AE77" s="490"/>
      <c r="AF77" s="490"/>
      <c r="AG77" s="490"/>
      <c r="AH77" s="490"/>
      <c r="AI77" s="533"/>
      <c r="AJ77" s="530">
        <v>0</v>
      </c>
      <c r="AK77" s="530">
        <v>0</v>
      </c>
      <c r="AL77" s="530">
        <v>7388.11</v>
      </c>
      <c r="AM77" s="534"/>
      <c r="AN77" s="530">
        <v>0</v>
      </c>
      <c r="AO77" s="535">
        <v>130.9</v>
      </c>
      <c r="AP77" s="530">
        <v>5036.3851207555472</v>
      </c>
      <c r="AQ77" s="536">
        <v>3</v>
      </c>
      <c r="AR77" s="530">
        <v>34020.916695056439</v>
      </c>
      <c r="AS77" s="490"/>
      <c r="AT77" s="536">
        <v>27.5</v>
      </c>
      <c r="AU77" s="536">
        <v>17.5</v>
      </c>
      <c r="AV77" s="537">
        <v>21.666666666666668</v>
      </c>
      <c r="AW77" s="538">
        <v>13014.034587756705</v>
      </c>
      <c r="AX77" s="539">
        <v>15</v>
      </c>
      <c r="AY77" s="535">
        <v>9009.7162530623336</v>
      </c>
      <c r="AZ77" s="540"/>
      <c r="BA77" s="499"/>
      <c r="BB77" s="528">
        <v>4</v>
      </c>
      <c r="BC77" s="528">
        <v>3046.9238377843717</v>
      </c>
      <c r="BD77" s="528">
        <v>35</v>
      </c>
      <c r="BE77" s="538">
        <v>11437.438048403683</v>
      </c>
      <c r="BF77" s="535">
        <v>314</v>
      </c>
      <c r="BG77" s="535">
        <v>23</v>
      </c>
      <c r="BH77" s="535">
        <v>338</v>
      </c>
      <c r="BI77" s="535">
        <v>28</v>
      </c>
      <c r="BJ77" s="536">
        <v>364</v>
      </c>
      <c r="BK77" s="536">
        <v>41</v>
      </c>
      <c r="BL77" s="541">
        <v>338.67</v>
      </c>
      <c r="BM77" s="541">
        <v>30.67</v>
      </c>
      <c r="BN77" s="542">
        <v>9.06</v>
      </c>
      <c r="BO77" s="529">
        <v>32.979999999999997</v>
      </c>
      <c r="BP77" s="528">
        <v>48636.114334285841</v>
      </c>
      <c r="BQ77" s="536">
        <v>17</v>
      </c>
      <c r="BR77" s="530">
        <v>3416.51</v>
      </c>
      <c r="BS77" s="536">
        <v>66</v>
      </c>
      <c r="BT77" s="530">
        <v>13337.627169983092</v>
      </c>
      <c r="BU77" s="530">
        <v>109</v>
      </c>
      <c r="BV77" s="530">
        <v>24784.576009328084</v>
      </c>
      <c r="BW77" s="536">
        <v>5</v>
      </c>
      <c r="BX77" s="530">
        <v>4280.5871237630872</v>
      </c>
      <c r="BY77" s="500"/>
      <c r="BZ77" s="282"/>
      <c r="CA77" s="282"/>
      <c r="CB77" s="490"/>
      <c r="CC77" s="490"/>
      <c r="CD77" s="490"/>
      <c r="CE77" s="282"/>
      <c r="CF77" s="490"/>
      <c r="CG77" s="543">
        <v>364</v>
      </c>
      <c r="CH77" s="532" t="e">
        <v>#DIV/0!</v>
      </c>
      <c r="CI77" s="532" t="e">
        <v>#DIV/0!</v>
      </c>
      <c r="CJ77" s="544"/>
      <c r="CK77" s="490"/>
      <c r="CL77" s="545">
        <v>1540</v>
      </c>
      <c r="CM77" s="546">
        <v>2</v>
      </c>
      <c r="CN77" s="532">
        <v>3080</v>
      </c>
      <c r="CO77" s="530">
        <v>4408.53</v>
      </c>
      <c r="CP77" s="490"/>
      <c r="CQ77" s="490"/>
      <c r="CR77" s="490"/>
      <c r="CS77" s="490"/>
      <c r="CT77" s="490"/>
      <c r="CU77" s="490"/>
      <c r="CV77" s="490"/>
      <c r="CW77" s="490"/>
      <c r="CX77" s="490"/>
      <c r="CY77" s="547"/>
      <c r="CZ77" s="530">
        <v>0</v>
      </c>
      <c r="DA77" s="506">
        <v>13396.5</v>
      </c>
      <c r="DB77" s="548"/>
      <c r="DC77" s="537">
        <v>0</v>
      </c>
      <c r="DD77" s="530">
        <v>0</v>
      </c>
      <c r="DE77" s="490"/>
      <c r="DF77" s="529">
        <v>1</v>
      </c>
      <c r="DG77" s="549">
        <v>70073.495851086889</v>
      </c>
      <c r="DH77" s="550"/>
      <c r="DI77" s="530">
        <v>0</v>
      </c>
      <c r="DJ77" s="551"/>
      <c r="DK77" s="552"/>
      <c r="DL77" s="282"/>
      <c r="DM77" s="490"/>
      <c r="DN77" s="509"/>
      <c r="DO77" s="553">
        <v>0</v>
      </c>
      <c r="DP77" s="530">
        <v>0</v>
      </c>
      <c r="DQ77" s="282"/>
      <c r="DR77" s="510"/>
      <c r="DS77" s="282"/>
      <c r="DT77" s="541">
        <v>0</v>
      </c>
      <c r="DU77" s="541">
        <v>0</v>
      </c>
      <c r="DV77" s="490"/>
      <c r="DW77" s="490"/>
      <c r="DX77" s="511"/>
      <c r="DY77" s="512">
        <v>8672.2829999999994</v>
      </c>
      <c r="DZ77" s="513">
        <v>1214441.7480312663</v>
      </c>
      <c r="EA77" s="513">
        <v>0</v>
      </c>
      <c r="EB77" s="514">
        <v>2252</v>
      </c>
      <c r="EC77" s="514">
        <v>0</v>
      </c>
      <c r="ED77" s="514">
        <v>0</v>
      </c>
      <c r="EE77" s="494"/>
      <c r="EF77" s="513">
        <v>1216693.7480312663</v>
      </c>
      <c r="EG77" s="513">
        <v>1203297.2480312663</v>
      </c>
      <c r="EH77" s="515">
        <v>364</v>
      </c>
      <c r="EI77" s="516">
        <v>15267.583726363508</v>
      </c>
      <c r="EJ77" s="517"/>
      <c r="EL77" s="518"/>
      <c r="EM77" s="518">
        <v>1216693.7480312663</v>
      </c>
      <c r="EN77" s="518">
        <v>0</v>
      </c>
      <c r="EO77" s="518">
        <v>0</v>
      </c>
      <c r="EP77" s="518">
        <v>0</v>
      </c>
      <c r="EQ77" s="518">
        <v>-13014.034587756705</v>
      </c>
      <c r="ER77" s="518">
        <v>-9009.7162530623336</v>
      </c>
      <c r="ES77" s="518">
        <v>-2252</v>
      </c>
      <c r="ET77" s="518">
        <v>0</v>
      </c>
      <c r="EU77" s="518">
        <v>0</v>
      </c>
      <c r="EV77" s="518">
        <v>0</v>
      </c>
      <c r="EW77" s="518">
        <v>0</v>
      </c>
      <c r="EX77" s="518">
        <v>-34020.916695056439</v>
      </c>
      <c r="EY77" s="518">
        <v>0</v>
      </c>
      <c r="EZ77" s="518">
        <v>1158397.0804953908</v>
      </c>
      <c r="FB77" s="518">
        <v>0</v>
      </c>
      <c r="FC77" s="518">
        <v>-22023.750840819041</v>
      </c>
      <c r="FF77" s="518">
        <v>1024646.7113051614</v>
      </c>
      <c r="FI77" s="488">
        <v>3217.7696680427521</v>
      </c>
      <c r="FK77" s="488">
        <v>360</v>
      </c>
      <c r="FL77" s="488">
        <v>0</v>
      </c>
      <c r="FM77" s="488">
        <v>360</v>
      </c>
    </row>
    <row r="78" spans="1:169" s="488" customFormat="1" x14ac:dyDescent="0.2">
      <c r="A78" s="489" t="s">
        <v>60</v>
      </c>
      <c r="B78" s="489" t="s">
        <v>866</v>
      </c>
      <c r="C78" s="489">
        <v>2430</v>
      </c>
      <c r="D78" s="488" t="s">
        <v>169</v>
      </c>
      <c r="E78" s="490"/>
      <c r="F78" s="490"/>
      <c r="G78" s="490"/>
      <c r="H78" s="490"/>
      <c r="I78" s="490"/>
      <c r="J78" s="490"/>
      <c r="K78" s="490"/>
      <c r="L78" s="490"/>
      <c r="M78" s="490"/>
      <c r="N78" s="528">
        <v>60</v>
      </c>
      <c r="O78" s="529">
        <v>93.551999999999992</v>
      </c>
      <c r="P78" s="530">
        <v>154158.18772848172</v>
      </c>
      <c r="Q78" s="528">
        <v>33</v>
      </c>
      <c r="R78" s="529">
        <v>49.071000000000005</v>
      </c>
      <c r="S78" s="530">
        <v>80860.873418252188</v>
      </c>
      <c r="T78" s="531">
        <v>20</v>
      </c>
      <c r="U78" s="529">
        <v>35.28</v>
      </c>
      <c r="V78" s="530">
        <v>58135.591575389473</v>
      </c>
      <c r="W78" s="491"/>
      <c r="X78" s="532">
        <v>0</v>
      </c>
      <c r="Y78" s="530">
        <v>0</v>
      </c>
      <c r="Z78" s="529">
        <v>113</v>
      </c>
      <c r="AA78" s="532">
        <v>177.90299999999999</v>
      </c>
      <c r="AB78" s="530">
        <v>293155</v>
      </c>
      <c r="AC78" s="490"/>
      <c r="AD78" s="490"/>
      <c r="AE78" s="490"/>
      <c r="AF78" s="490"/>
      <c r="AG78" s="490"/>
      <c r="AH78" s="490"/>
      <c r="AI78" s="533"/>
      <c r="AJ78" s="530">
        <v>0</v>
      </c>
      <c r="AK78" s="530">
        <v>0</v>
      </c>
      <c r="AL78" s="530">
        <v>2293.56</v>
      </c>
      <c r="AM78" s="534"/>
      <c r="AN78" s="530">
        <v>0</v>
      </c>
      <c r="AO78" s="535">
        <v>30.2</v>
      </c>
      <c r="AP78" s="530">
        <v>1161.9467581880635</v>
      </c>
      <c r="AQ78" s="536">
        <v>1</v>
      </c>
      <c r="AR78" s="530">
        <v>11340.305565018814</v>
      </c>
      <c r="AS78" s="490"/>
      <c r="AT78" s="536">
        <v>0</v>
      </c>
      <c r="AU78" s="536">
        <v>0</v>
      </c>
      <c r="AV78" s="537">
        <v>0</v>
      </c>
      <c r="AW78" s="538">
        <v>0</v>
      </c>
      <c r="AX78" s="539"/>
      <c r="AY78" s="535">
        <v>0</v>
      </c>
      <c r="AZ78" s="540"/>
      <c r="BA78" s="499"/>
      <c r="BB78" s="528">
        <v>6</v>
      </c>
      <c r="BC78" s="528">
        <v>4570.3857566765573</v>
      </c>
      <c r="BD78" s="528">
        <v>11</v>
      </c>
      <c r="BE78" s="538">
        <v>3594.6233866411571</v>
      </c>
      <c r="BF78" s="535">
        <v>109</v>
      </c>
      <c r="BG78" s="535">
        <v>58</v>
      </c>
      <c r="BH78" s="535">
        <v>114</v>
      </c>
      <c r="BI78" s="535">
        <v>48</v>
      </c>
      <c r="BJ78" s="536">
        <v>113</v>
      </c>
      <c r="BK78" s="536">
        <v>41</v>
      </c>
      <c r="BL78" s="541">
        <v>112</v>
      </c>
      <c r="BM78" s="541">
        <v>49</v>
      </c>
      <c r="BN78" s="542">
        <v>43.75</v>
      </c>
      <c r="BO78" s="529">
        <v>49.44</v>
      </c>
      <c r="BP78" s="528">
        <v>72909.93003902644</v>
      </c>
      <c r="BQ78" s="536">
        <v>47</v>
      </c>
      <c r="BR78" s="530">
        <v>9445.66</v>
      </c>
      <c r="BS78" s="536">
        <v>29</v>
      </c>
      <c r="BT78" s="530">
        <v>5860.47254438651</v>
      </c>
      <c r="BU78" s="530">
        <v>324</v>
      </c>
      <c r="BV78" s="530">
        <v>73671.583734149535</v>
      </c>
      <c r="BW78" s="536">
        <v>1</v>
      </c>
      <c r="BX78" s="530">
        <v>856.11742475261747</v>
      </c>
      <c r="BY78" s="500"/>
      <c r="BZ78" s="282"/>
      <c r="CA78" s="282"/>
      <c r="CB78" s="490"/>
      <c r="CC78" s="490"/>
      <c r="CD78" s="490"/>
      <c r="CE78" s="282"/>
      <c r="CF78" s="490"/>
      <c r="CG78" s="543">
        <v>113</v>
      </c>
      <c r="CH78" s="532" t="e">
        <v>#DIV/0!</v>
      </c>
      <c r="CI78" s="532" t="e">
        <v>#DIV/0!</v>
      </c>
      <c r="CJ78" s="544"/>
      <c r="CK78" s="490"/>
      <c r="CL78" s="545">
        <v>1063.5635156642654</v>
      </c>
      <c r="CM78" s="546">
        <v>1</v>
      </c>
      <c r="CN78" s="532">
        <v>1063.5635156642654</v>
      </c>
      <c r="CO78" s="530">
        <v>1522.32</v>
      </c>
      <c r="CP78" s="490"/>
      <c r="CQ78" s="490"/>
      <c r="CR78" s="490"/>
      <c r="CS78" s="490"/>
      <c r="CT78" s="490"/>
      <c r="CU78" s="490"/>
      <c r="CV78" s="490"/>
      <c r="CW78" s="490"/>
      <c r="CX78" s="490"/>
      <c r="CY78" s="547"/>
      <c r="CZ78" s="530">
        <v>0</v>
      </c>
      <c r="DA78" s="506">
        <v>18434.5</v>
      </c>
      <c r="DB78" s="548"/>
      <c r="DC78" s="537">
        <v>0</v>
      </c>
      <c r="DD78" s="530">
        <v>0</v>
      </c>
      <c r="DE78" s="490"/>
      <c r="DF78" s="529">
        <v>1</v>
      </c>
      <c r="DG78" s="549">
        <v>74722.185859261808</v>
      </c>
      <c r="DH78" s="550"/>
      <c r="DI78" s="530">
        <v>0</v>
      </c>
      <c r="DJ78" s="551"/>
      <c r="DK78" s="552"/>
      <c r="DL78" s="560">
        <v>20979.235406779724</v>
      </c>
      <c r="DM78" s="490"/>
      <c r="DN78" s="561">
        <v>2721.2288460713607</v>
      </c>
      <c r="DO78" s="553">
        <v>0</v>
      </c>
      <c r="DP78" s="530">
        <v>0</v>
      </c>
      <c r="DQ78" s="282"/>
      <c r="DR78" s="510"/>
      <c r="DS78" s="282"/>
      <c r="DT78" s="541">
        <v>34.336842105263159</v>
      </c>
      <c r="DU78" s="541">
        <v>9695.2144223708819</v>
      </c>
      <c r="DV78" s="490"/>
      <c r="DW78" s="490"/>
      <c r="DX78" s="511">
        <v>50957.385800000004</v>
      </c>
      <c r="DY78" s="512">
        <v>0</v>
      </c>
      <c r="DZ78" s="513">
        <v>657891.65554332349</v>
      </c>
      <c r="EA78" s="513">
        <v>57249.303847600357</v>
      </c>
      <c r="EB78" s="514">
        <v>0</v>
      </c>
      <c r="EC78" s="514">
        <v>0</v>
      </c>
      <c r="ED78" s="514">
        <v>-7526.8041999999987</v>
      </c>
      <c r="EE78" s="494"/>
      <c r="EF78" s="513">
        <v>707614.15519092383</v>
      </c>
      <c r="EG78" s="513">
        <v>689179.65519092383</v>
      </c>
      <c r="EH78" s="515">
        <v>113</v>
      </c>
      <c r="EI78" s="516">
        <v>4739.6619809864733</v>
      </c>
      <c r="EJ78" s="517"/>
      <c r="EL78" s="518"/>
      <c r="EM78" s="518">
        <v>707614.15519092383</v>
      </c>
      <c r="EN78" s="518">
        <v>-50957.385800000004</v>
      </c>
      <c r="EO78" s="518">
        <v>7526.8041999999987</v>
      </c>
      <c r="EP78" s="518">
        <v>-5769.049466297809</v>
      </c>
      <c r="EQ78" s="518">
        <v>0</v>
      </c>
      <c r="ER78" s="518">
        <v>0</v>
      </c>
      <c r="ES78" s="518">
        <v>0</v>
      </c>
      <c r="ET78" s="518">
        <v>0</v>
      </c>
      <c r="EU78" s="518">
        <v>0</v>
      </c>
      <c r="EV78" s="518">
        <v>0</v>
      </c>
      <c r="EW78" s="518">
        <v>0</v>
      </c>
      <c r="EX78" s="518">
        <v>-11340.305565018814</v>
      </c>
      <c r="EY78" s="518">
        <v>0</v>
      </c>
      <c r="EZ78" s="518">
        <v>647074.21855960716</v>
      </c>
      <c r="FB78" s="518">
        <v>49199.631066297814</v>
      </c>
      <c r="FC78" s="518">
        <v>0</v>
      </c>
      <c r="FF78" s="518">
        <v>464303.89137697598</v>
      </c>
      <c r="FI78" s="488">
        <v>5578.2260220655789</v>
      </c>
      <c r="FK78" s="488">
        <v>116</v>
      </c>
      <c r="FL78" s="488">
        <v>0</v>
      </c>
      <c r="FM78" s="488">
        <v>116</v>
      </c>
    </row>
    <row r="79" spans="1:169" s="488" customFormat="1" x14ac:dyDescent="0.2">
      <c r="A79" s="489" t="s">
        <v>61</v>
      </c>
      <c r="B79" s="489" t="s">
        <v>867</v>
      </c>
      <c r="C79" s="489">
        <v>2466</v>
      </c>
      <c r="D79" s="488" t="s">
        <v>169</v>
      </c>
      <c r="E79" s="490"/>
      <c r="F79" s="490"/>
      <c r="G79" s="490"/>
      <c r="H79" s="490"/>
      <c r="I79" s="490"/>
      <c r="J79" s="490"/>
      <c r="K79" s="490"/>
      <c r="L79" s="490"/>
      <c r="M79" s="490"/>
      <c r="N79" s="528">
        <v>88</v>
      </c>
      <c r="O79" s="529">
        <v>137.20959999999999</v>
      </c>
      <c r="P79" s="530">
        <v>226098.67533510656</v>
      </c>
      <c r="Q79" s="528">
        <v>22</v>
      </c>
      <c r="R79" s="529">
        <v>32.713999999999999</v>
      </c>
      <c r="S79" s="530">
        <v>53907.248945501451</v>
      </c>
      <c r="T79" s="531">
        <v>27</v>
      </c>
      <c r="U79" s="529">
        <v>47.628</v>
      </c>
      <c r="V79" s="530">
        <v>78483.048626775781</v>
      </c>
      <c r="W79" s="491"/>
      <c r="X79" s="532">
        <v>0</v>
      </c>
      <c r="Y79" s="530">
        <v>0</v>
      </c>
      <c r="Z79" s="529">
        <v>137</v>
      </c>
      <c r="AA79" s="532">
        <v>217.55160000000001</v>
      </c>
      <c r="AB79" s="530">
        <v>358489</v>
      </c>
      <c r="AC79" s="490"/>
      <c r="AD79" s="490"/>
      <c r="AE79" s="490"/>
      <c r="AF79" s="490"/>
      <c r="AG79" s="490"/>
      <c r="AH79" s="490"/>
      <c r="AI79" s="533"/>
      <c r="AJ79" s="530">
        <v>0</v>
      </c>
      <c r="AK79" s="530">
        <v>0</v>
      </c>
      <c r="AL79" s="530">
        <v>2780.69</v>
      </c>
      <c r="AM79" s="534"/>
      <c r="AN79" s="530">
        <v>0</v>
      </c>
      <c r="AO79" s="535">
        <v>25</v>
      </c>
      <c r="AP79" s="530">
        <v>961.87645545369503</v>
      </c>
      <c r="AQ79" s="536">
        <v>1</v>
      </c>
      <c r="AR79" s="530">
        <v>11340.305565018814</v>
      </c>
      <c r="AS79" s="490"/>
      <c r="AT79" s="536">
        <v>35</v>
      </c>
      <c r="AU79" s="536">
        <v>35</v>
      </c>
      <c r="AV79" s="537">
        <v>35</v>
      </c>
      <c r="AW79" s="538">
        <v>21022.671257145448</v>
      </c>
      <c r="AX79" s="539"/>
      <c r="AY79" s="535">
        <v>0</v>
      </c>
      <c r="AZ79" s="540"/>
      <c r="BA79" s="499"/>
      <c r="BB79" s="528">
        <v>5</v>
      </c>
      <c r="BC79" s="528">
        <v>3808.6547972304647</v>
      </c>
      <c r="BD79" s="528">
        <v>17</v>
      </c>
      <c r="BE79" s="538">
        <v>5555.3270520817887</v>
      </c>
      <c r="BF79" s="535">
        <v>145</v>
      </c>
      <c r="BG79" s="535">
        <v>23</v>
      </c>
      <c r="BH79" s="535">
        <v>124</v>
      </c>
      <c r="BI79" s="535">
        <v>22</v>
      </c>
      <c r="BJ79" s="536">
        <v>137</v>
      </c>
      <c r="BK79" s="536">
        <v>27</v>
      </c>
      <c r="BL79" s="541">
        <v>135.33000000000001</v>
      </c>
      <c r="BM79" s="541">
        <v>24</v>
      </c>
      <c r="BN79" s="542">
        <v>17.73</v>
      </c>
      <c r="BO79" s="529">
        <v>24.29</v>
      </c>
      <c r="BP79" s="528">
        <v>35820.837391746609</v>
      </c>
      <c r="BQ79" s="536">
        <v>3</v>
      </c>
      <c r="BR79" s="530">
        <v>602.91</v>
      </c>
      <c r="BS79" s="536">
        <v>14</v>
      </c>
      <c r="BT79" s="530">
        <v>2829.1936421176256</v>
      </c>
      <c r="BU79" s="530">
        <v>29</v>
      </c>
      <c r="BV79" s="530">
        <v>6594.06150706894</v>
      </c>
      <c r="BW79" s="536">
        <v>4</v>
      </c>
      <c r="BX79" s="530">
        <v>3424.4696990104699</v>
      </c>
      <c r="BY79" s="500"/>
      <c r="BZ79" s="282"/>
      <c r="CA79" s="282"/>
      <c r="CB79" s="490"/>
      <c r="CC79" s="490"/>
      <c r="CD79" s="490"/>
      <c r="CE79" s="282"/>
      <c r="CF79" s="490"/>
      <c r="CG79" s="543">
        <v>137</v>
      </c>
      <c r="CH79" s="532" t="e">
        <v>#DIV/0!</v>
      </c>
      <c r="CI79" s="532" t="e">
        <v>#DIV/0!</v>
      </c>
      <c r="CJ79" s="544"/>
      <c r="CK79" s="490"/>
      <c r="CL79" s="545">
        <v>1476.36</v>
      </c>
      <c r="CM79" s="546">
        <v>2</v>
      </c>
      <c r="CN79" s="532">
        <v>2952.72</v>
      </c>
      <c r="CO79" s="530">
        <v>4226.3500000000004</v>
      </c>
      <c r="CP79" s="490"/>
      <c r="CQ79" s="490"/>
      <c r="CR79" s="490"/>
      <c r="CS79" s="490"/>
      <c r="CT79" s="490"/>
      <c r="CU79" s="490"/>
      <c r="CV79" s="490"/>
      <c r="CW79" s="490"/>
      <c r="CX79" s="490"/>
      <c r="CY79" s="547"/>
      <c r="CZ79" s="530">
        <v>0</v>
      </c>
      <c r="DA79" s="506">
        <v>11450</v>
      </c>
      <c r="DB79" s="548"/>
      <c r="DC79" s="537">
        <v>0</v>
      </c>
      <c r="DD79" s="530">
        <v>0</v>
      </c>
      <c r="DE79" s="490"/>
      <c r="DF79" s="529">
        <v>1</v>
      </c>
      <c r="DG79" s="549">
        <v>74722.185859261808</v>
      </c>
      <c r="DH79" s="550"/>
      <c r="DI79" s="530">
        <v>0</v>
      </c>
      <c r="DJ79" s="551"/>
      <c r="DK79" s="552"/>
      <c r="DL79" s="282"/>
      <c r="DM79" s="490"/>
      <c r="DN79" s="509"/>
      <c r="DO79" s="553">
        <v>0</v>
      </c>
      <c r="DP79" s="530">
        <v>0</v>
      </c>
      <c r="DQ79" s="282"/>
      <c r="DR79" s="510"/>
      <c r="DS79" s="282"/>
      <c r="DT79" s="541">
        <v>23</v>
      </c>
      <c r="DU79" s="541">
        <v>6494.1886918701339</v>
      </c>
      <c r="DV79" s="490"/>
      <c r="DW79" s="490"/>
      <c r="DX79" s="511"/>
      <c r="DY79" s="512">
        <v>3271.3254999999999</v>
      </c>
      <c r="DZ79" s="513">
        <v>553394.04741800565</v>
      </c>
      <c r="EA79" s="513">
        <v>16662.874748644535</v>
      </c>
      <c r="EB79" s="514">
        <v>4255</v>
      </c>
      <c r="EC79" s="514">
        <v>0</v>
      </c>
      <c r="ED79" s="514">
        <v>0</v>
      </c>
      <c r="EE79" s="494"/>
      <c r="EF79" s="513">
        <v>574311.92216665018</v>
      </c>
      <c r="EG79" s="513">
        <v>562861.92216665018</v>
      </c>
      <c r="EH79" s="515">
        <v>137</v>
      </c>
      <c r="EI79" s="516">
        <v>5746.3158530543969</v>
      </c>
      <c r="EJ79" s="517"/>
      <c r="EL79" s="518"/>
      <c r="EM79" s="518">
        <v>574311.92216665018</v>
      </c>
      <c r="EN79" s="518">
        <v>0</v>
      </c>
      <c r="EO79" s="518">
        <v>0</v>
      </c>
      <c r="EP79" s="518">
        <v>0</v>
      </c>
      <c r="EQ79" s="518">
        <v>-21022.671257145448</v>
      </c>
      <c r="ER79" s="518">
        <v>0</v>
      </c>
      <c r="ES79" s="518">
        <v>-4255</v>
      </c>
      <c r="ET79" s="518">
        <v>0</v>
      </c>
      <c r="EU79" s="518">
        <v>0</v>
      </c>
      <c r="EV79" s="518">
        <v>0</v>
      </c>
      <c r="EW79" s="518">
        <v>0</v>
      </c>
      <c r="EX79" s="518">
        <v>-11340.305565018814</v>
      </c>
      <c r="EY79" s="518">
        <v>0</v>
      </c>
      <c r="EZ79" s="518">
        <v>537693.94534448592</v>
      </c>
      <c r="FB79" s="518">
        <v>0</v>
      </c>
      <c r="FC79" s="518">
        <v>-21022.671257145448</v>
      </c>
      <c r="FF79" s="518">
        <v>415234.1220869266</v>
      </c>
      <c r="FI79" s="488">
        <v>4042.811619131473</v>
      </c>
      <c r="FK79" s="488">
        <v>133</v>
      </c>
      <c r="FL79" s="488">
        <v>0</v>
      </c>
      <c r="FM79" s="488">
        <v>133</v>
      </c>
    </row>
    <row r="80" spans="1:169" s="488" customFormat="1" x14ac:dyDescent="0.2">
      <c r="A80" s="489" t="s">
        <v>106</v>
      </c>
      <c r="B80" s="489" t="s">
        <v>868</v>
      </c>
      <c r="C80" s="489">
        <v>3543</v>
      </c>
      <c r="D80" s="488" t="s">
        <v>169</v>
      </c>
      <c r="E80" s="490"/>
      <c r="F80" s="490"/>
      <c r="G80" s="490"/>
      <c r="H80" s="490"/>
      <c r="I80" s="490"/>
      <c r="J80" s="490"/>
      <c r="K80" s="490"/>
      <c r="L80" s="490"/>
      <c r="M80" s="490"/>
      <c r="N80" s="528">
        <v>145</v>
      </c>
      <c r="O80" s="529">
        <v>226.08399999999997</v>
      </c>
      <c r="P80" s="530">
        <v>372548.95367716416</v>
      </c>
      <c r="Q80" s="528">
        <v>87</v>
      </c>
      <c r="R80" s="529">
        <v>129.369</v>
      </c>
      <c r="S80" s="530">
        <v>213178.66628448301</v>
      </c>
      <c r="T80" s="531">
        <v>45</v>
      </c>
      <c r="U80" s="529">
        <v>79.38</v>
      </c>
      <c r="V80" s="530">
        <v>130805.08104462631</v>
      </c>
      <c r="W80" s="491"/>
      <c r="X80" s="532">
        <v>0</v>
      </c>
      <c r="Y80" s="530">
        <v>0</v>
      </c>
      <c r="Z80" s="529">
        <v>277</v>
      </c>
      <c r="AA80" s="532">
        <v>434.83299999999997</v>
      </c>
      <c r="AB80" s="530">
        <v>716533</v>
      </c>
      <c r="AC80" s="490"/>
      <c r="AD80" s="490"/>
      <c r="AE80" s="490"/>
      <c r="AF80" s="490"/>
      <c r="AG80" s="490"/>
      <c r="AH80" s="490"/>
      <c r="AI80" s="533"/>
      <c r="AJ80" s="530">
        <v>0</v>
      </c>
      <c r="AK80" s="530">
        <v>0</v>
      </c>
      <c r="AL80" s="530">
        <v>5622.27</v>
      </c>
      <c r="AM80" s="534"/>
      <c r="AN80" s="530">
        <v>0</v>
      </c>
      <c r="AO80" s="535">
        <v>124.9</v>
      </c>
      <c r="AP80" s="530">
        <v>4805.5347714466607</v>
      </c>
      <c r="AQ80" s="536">
        <v>2</v>
      </c>
      <c r="AR80" s="530">
        <v>22680.611130037629</v>
      </c>
      <c r="AS80" s="490"/>
      <c r="AT80" s="536">
        <v>17.5</v>
      </c>
      <c r="AU80" s="536">
        <v>17.5</v>
      </c>
      <c r="AV80" s="537">
        <v>17.5</v>
      </c>
      <c r="AW80" s="538">
        <v>10511.335628572724</v>
      </c>
      <c r="AX80" s="539"/>
      <c r="AY80" s="535">
        <v>0</v>
      </c>
      <c r="AZ80" s="540"/>
      <c r="BA80" s="499"/>
      <c r="BB80" s="528">
        <v>2</v>
      </c>
      <c r="BC80" s="528">
        <v>1523.4619188921858</v>
      </c>
      <c r="BD80" s="528">
        <v>9</v>
      </c>
      <c r="BE80" s="538">
        <v>2941.0554981609466</v>
      </c>
      <c r="BF80" s="535">
        <v>281</v>
      </c>
      <c r="BG80" s="535">
        <v>24</v>
      </c>
      <c r="BH80" s="535">
        <v>279</v>
      </c>
      <c r="BI80" s="535">
        <v>35</v>
      </c>
      <c r="BJ80" s="536">
        <v>277</v>
      </c>
      <c r="BK80" s="536">
        <v>33</v>
      </c>
      <c r="BL80" s="541">
        <v>279</v>
      </c>
      <c r="BM80" s="541">
        <v>30.67</v>
      </c>
      <c r="BN80" s="542">
        <v>10.99</v>
      </c>
      <c r="BO80" s="529">
        <v>30.44</v>
      </c>
      <c r="BP80" s="528">
        <v>44890.337184222597</v>
      </c>
      <c r="BQ80" s="536">
        <v>25</v>
      </c>
      <c r="BR80" s="530">
        <v>5024.29</v>
      </c>
      <c r="BS80" s="536">
        <v>23</v>
      </c>
      <c r="BT80" s="530">
        <v>4647.9609834789562</v>
      </c>
      <c r="BU80" s="530">
        <v>215</v>
      </c>
      <c r="BV80" s="530">
        <v>48887.007724821451</v>
      </c>
      <c r="BW80" s="536">
        <v>6</v>
      </c>
      <c r="BX80" s="530">
        <v>5136.704548515705</v>
      </c>
      <c r="BY80" s="500"/>
      <c r="BZ80" s="282"/>
      <c r="CA80" s="282"/>
      <c r="CB80" s="490"/>
      <c r="CC80" s="490"/>
      <c r="CD80" s="490"/>
      <c r="CE80" s="282"/>
      <c r="CF80" s="490"/>
      <c r="CG80" s="543">
        <v>277</v>
      </c>
      <c r="CH80" s="532" t="e">
        <v>#DIV/0!</v>
      </c>
      <c r="CI80" s="532" t="e">
        <v>#DIV/0!</v>
      </c>
      <c r="CJ80" s="544"/>
      <c r="CK80" s="490"/>
      <c r="CL80" s="545">
        <v>2025.1668337611877</v>
      </c>
      <c r="CM80" s="546">
        <v>2</v>
      </c>
      <c r="CN80" s="532">
        <v>4050.3336675223754</v>
      </c>
      <c r="CO80" s="530">
        <v>5797.41</v>
      </c>
      <c r="CP80" s="490"/>
      <c r="CQ80" s="490"/>
      <c r="CR80" s="490"/>
      <c r="CS80" s="490"/>
      <c r="CT80" s="490"/>
      <c r="CU80" s="490"/>
      <c r="CV80" s="490"/>
      <c r="CW80" s="490"/>
      <c r="CX80" s="490"/>
      <c r="CY80" s="547"/>
      <c r="CZ80" s="530">
        <v>0</v>
      </c>
      <c r="DA80" s="506">
        <v>2885.4</v>
      </c>
      <c r="DB80" s="548"/>
      <c r="DC80" s="537">
        <v>0</v>
      </c>
      <c r="DD80" s="530">
        <v>0</v>
      </c>
      <c r="DE80" s="490"/>
      <c r="DF80" s="529">
        <v>1</v>
      </c>
      <c r="DG80" s="549">
        <v>70073.495851086889</v>
      </c>
      <c r="DH80" s="550"/>
      <c r="DI80" s="530">
        <v>0</v>
      </c>
      <c r="DJ80" s="551"/>
      <c r="DK80" s="552"/>
      <c r="DL80" s="282"/>
      <c r="DM80" s="490"/>
      <c r="DN80" s="509"/>
      <c r="DO80" s="553">
        <v>1</v>
      </c>
      <c r="DP80" s="530">
        <v>956.65070417858522</v>
      </c>
      <c r="DQ80" s="282"/>
      <c r="DR80" s="510"/>
      <c r="DS80" s="282"/>
      <c r="DT80" s="541">
        <v>0</v>
      </c>
      <c r="DU80" s="541">
        <v>0</v>
      </c>
      <c r="DV80" s="490"/>
      <c r="DW80" s="490"/>
      <c r="DX80" s="511">
        <v>92570.539799999999</v>
      </c>
      <c r="DY80" s="512">
        <v>0</v>
      </c>
      <c r="DZ80" s="513">
        <v>1045487.0657434146</v>
      </c>
      <c r="EA80" s="513">
        <v>12596.6774811754</v>
      </c>
      <c r="EB80" s="514">
        <v>0</v>
      </c>
      <c r="EC80" s="514">
        <v>0</v>
      </c>
      <c r="ED80" s="514">
        <v>1066.6128000000026</v>
      </c>
      <c r="EE80" s="494"/>
      <c r="EF80" s="513">
        <v>1059150.3560245901</v>
      </c>
      <c r="EG80" s="513">
        <v>1056264.9560245902</v>
      </c>
      <c r="EH80" s="515">
        <v>277</v>
      </c>
      <c r="EI80" s="516">
        <v>11618.463440117284</v>
      </c>
      <c r="EJ80" s="517"/>
      <c r="EL80" s="518"/>
      <c r="EM80" s="518">
        <v>1059150.3560245901</v>
      </c>
      <c r="EN80" s="518">
        <v>-92570.539799999999</v>
      </c>
      <c r="EO80" s="518">
        <v>-1066.6128000000026</v>
      </c>
      <c r="EP80" s="518">
        <v>-1097.2822158895251</v>
      </c>
      <c r="EQ80" s="518">
        <v>-10511.335628572724</v>
      </c>
      <c r="ER80" s="518">
        <v>0</v>
      </c>
      <c r="ES80" s="518">
        <v>0</v>
      </c>
      <c r="ET80" s="518">
        <v>0</v>
      </c>
      <c r="EU80" s="518">
        <v>0</v>
      </c>
      <c r="EV80" s="518">
        <v>0</v>
      </c>
      <c r="EW80" s="518">
        <v>0</v>
      </c>
      <c r="EX80" s="518">
        <v>-22680.611130037629</v>
      </c>
      <c r="EY80" s="518">
        <v>0</v>
      </c>
      <c r="EZ80" s="518">
        <v>931223.9744500902</v>
      </c>
      <c r="FB80" s="518">
        <v>94734.43481588953</v>
      </c>
      <c r="FC80" s="518">
        <v>-10511.335628572724</v>
      </c>
      <c r="FF80" s="518">
        <v>822951.4520806307</v>
      </c>
      <c r="FI80" s="488">
        <v>3361.8194023468959</v>
      </c>
      <c r="FK80" s="488">
        <v>277</v>
      </c>
      <c r="FL80" s="488">
        <v>0</v>
      </c>
      <c r="FM80" s="488">
        <v>277</v>
      </c>
    </row>
    <row r="81" spans="1:169" s="488" customFormat="1" x14ac:dyDescent="0.2">
      <c r="A81" s="489" t="s">
        <v>317</v>
      </c>
      <c r="B81" s="489" t="s">
        <v>869</v>
      </c>
      <c r="C81" s="489">
        <v>3158</v>
      </c>
      <c r="D81" s="488" t="s">
        <v>169</v>
      </c>
      <c r="E81" s="490"/>
      <c r="F81" s="490"/>
      <c r="G81" s="490"/>
      <c r="H81" s="490"/>
      <c r="I81" s="490"/>
      <c r="J81" s="490"/>
      <c r="K81" s="490"/>
      <c r="L81" s="490"/>
      <c r="M81" s="490"/>
      <c r="N81" s="528">
        <v>0</v>
      </c>
      <c r="O81" s="529">
        <v>0</v>
      </c>
      <c r="P81" s="530">
        <v>0</v>
      </c>
      <c r="Q81" s="528">
        <v>79</v>
      </c>
      <c r="R81" s="529">
        <v>117.47300000000001</v>
      </c>
      <c r="S81" s="530">
        <v>193576.03030430069</v>
      </c>
      <c r="T81" s="531">
        <v>40</v>
      </c>
      <c r="U81" s="529">
        <v>70.56</v>
      </c>
      <c r="V81" s="530">
        <v>116271.18315077895</v>
      </c>
      <c r="W81" s="491"/>
      <c r="X81" s="532">
        <v>0</v>
      </c>
      <c r="Y81" s="530">
        <v>0</v>
      </c>
      <c r="Z81" s="529">
        <v>119</v>
      </c>
      <c r="AA81" s="532">
        <v>188.03300000000002</v>
      </c>
      <c r="AB81" s="530">
        <v>309848</v>
      </c>
      <c r="AC81" s="490"/>
      <c r="AD81" s="490"/>
      <c r="AE81" s="490"/>
      <c r="AF81" s="490"/>
      <c r="AG81" s="490"/>
      <c r="AH81" s="490"/>
      <c r="AI81" s="533"/>
      <c r="AJ81" s="530">
        <v>0</v>
      </c>
      <c r="AK81" s="530">
        <v>0</v>
      </c>
      <c r="AL81" s="530">
        <v>2415.34</v>
      </c>
      <c r="AM81" s="534"/>
      <c r="AN81" s="530">
        <v>0</v>
      </c>
      <c r="AO81" s="535">
        <v>20.5</v>
      </c>
      <c r="AP81" s="530">
        <v>788.73869347202992</v>
      </c>
      <c r="AQ81" s="536">
        <v>2</v>
      </c>
      <c r="AR81" s="530">
        <v>22680.611130037629</v>
      </c>
      <c r="AS81" s="490"/>
      <c r="AT81" s="536">
        <v>10</v>
      </c>
      <c r="AU81" s="536">
        <v>0</v>
      </c>
      <c r="AV81" s="537">
        <v>4.166666666666667</v>
      </c>
      <c r="AW81" s="538">
        <v>2502.698959183982</v>
      </c>
      <c r="AX81" s="539"/>
      <c r="AY81" s="535">
        <v>0</v>
      </c>
      <c r="AZ81" s="540"/>
      <c r="BA81" s="499"/>
      <c r="BB81" s="528">
        <v>12</v>
      </c>
      <c r="BC81" s="528">
        <v>9140.7715133531146</v>
      </c>
      <c r="BD81" s="528">
        <v>10</v>
      </c>
      <c r="BE81" s="538">
        <v>3267.8394424010521</v>
      </c>
      <c r="BF81" s="535">
        <v>107</v>
      </c>
      <c r="BG81" s="535">
        <v>32</v>
      </c>
      <c r="BH81" s="535">
        <v>108</v>
      </c>
      <c r="BI81" s="535">
        <v>19</v>
      </c>
      <c r="BJ81" s="536">
        <v>119</v>
      </c>
      <c r="BK81" s="536">
        <v>35</v>
      </c>
      <c r="BL81" s="541">
        <v>111.33</v>
      </c>
      <c r="BM81" s="541">
        <v>28.67</v>
      </c>
      <c r="BN81" s="542">
        <v>25.75</v>
      </c>
      <c r="BO81" s="529">
        <v>30.64</v>
      </c>
      <c r="BP81" s="528">
        <v>45185.280266904738</v>
      </c>
      <c r="BQ81" s="536">
        <v>96</v>
      </c>
      <c r="BR81" s="530">
        <v>19293.259999999998</v>
      </c>
      <c r="BS81" s="536">
        <v>83</v>
      </c>
      <c r="BT81" s="530">
        <v>16773.076592554495</v>
      </c>
      <c r="BU81" s="530">
        <v>333</v>
      </c>
      <c r="BV81" s="530">
        <v>75718.016615653687</v>
      </c>
      <c r="BW81" s="536">
        <v>1</v>
      </c>
      <c r="BX81" s="530">
        <v>856.11742475261747</v>
      </c>
      <c r="BY81" s="500"/>
      <c r="BZ81" s="282"/>
      <c r="CA81" s="282"/>
      <c r="CB81" s="490"/>
      <c r="CC81" s="490"/>
      <c r="CD81" s="490"/>
      <c r="CE81" s="282"/>
      <c r="CF81" s="490"/>
      <c r="CG81" s="543">
        <v>119</v>
      </c>
      <c r="CH81" s="532" t="e">
        <v>#DIV/0!</v>
      </c>
      <c r="CI81" s="532" t="e">
        <v>#DIV/0!</v>
      </c>
      <c r="CJ81" s="544"/>
      <c r="CK81" s="490"/>
      <c r="CL81" s="545">
        <v>785.43062379906667</v>
      </c>
      <c r="CM81" s="546">
        <v>2</v>
      </c>
      <c r="CN81" s="532">
        <v>1570.8612475981333</v>
      </c>
      <c r="CO81" s="530">
        <v>2248.44</v>
      </c>
      <c r="CP81" s="490"/>
      <c r="CQ81" s="490"/>
      <c r="CR81" s="490"/>
      <c r="CS81" s="490"/>
      <c r="CT81" s="490"/>
      <c r="CU81" s="490"/>
      <c r="CV81" s="490"/>
      <c r="CW81" s="490"/>
      <c r="CX81" s="490"/>
      <c r="CY81" s="547"/>
      <c r="CZ81" s="530">
        <v>0</v>
      </c>
      <c r="DA81" s="506">
        <v>1359.48</v>
      </c>
      <c r="DB81" s="548"/>
      <c r="DC81" s="537">
        <v>0</v>
      </c>
      <c r="DD81" s="530">
        <v>0</v>
      </c>
      <c r="DE81" s="490"/>
      <c r="DF81" s="529">
        <v>1</v>
      </c>
      <c r="DG81" s="549">
        <v>74722.185859261808</v>
      </c>
      <c r="DH81" s="550"/>
      <c r="DI81" s="530">
        <v>0</v>
      </c>
      <c r="DJ81" s="551"/>
      <c r="DK81" s="552"/>
      <c r="DL81" s="282"/>
      <c r="DM81" s="490"/>
      <c r="DN81" s="509"/>
      <c r="DO81" s="553">
        <v>0</v>
      </c>
      <c r="DP81" s="530">
        <v>0</v>
      </c>
      <c r="DQ81" s="282"/>
      <c r="DR81" s="510"/>
      <c r="DS81" s="282"/>
      <c r="DT81" s="541">
        <v>6.6105263157894854</v>
      </c>
      <c r="DU81" s="541">
        <v>1866.5219672743483</v>
      </c>
      <c r="DV81" s="490"/>
      <c r="DW81" s="490"/>
      <c r="DX81" s="511">
        <v>144279.6654</v>
      </c>
      <c r="DY81" s="512">
        <v>0</v>
      </c>
      <c r="DZ81" s="513">
        <v>732946.04386484949</v>
      </c>
      <c r="EA81" s="513">
        <v>16415.275421207887</v>
      </c>
      <c r="EB81" s="514">
        <v>1502</v>
      </c>
      <c r="EC81" s="514">
        <v>0</v>
      </c>
      <c r="ED81" s="514">
        <v>4676.6003999999957</v>
      </c>
      <c r="EE81" s="494"/>
      <c r="EF81" s="513">
        <v>755539.91968605737</v>
      </c>
      <c r="EG81" s="513">
        <v>754180.43968605739</v>
      </c>
      <c r="EH81" s="515">
        <v>119</v>
      </c>
      <c r="EI81" s="516">
        <v>4991.3254490034542</v>
      </c>
      <c r="EJ81" s="517"/>
      <c r="EL81" s="518"/>
      <c r="EM81" s="518">
        <v>755539.91968605737</v>
      </c>
      <c r="EN81" s="518">
        <v>-144279.6654</v>
      </c>
      <c r="EO81" s="518">
        <v>-4676.6003999999957</v>
      </c>
      <c r="EP81" s="518">
        <v>-3680.2569860750864</v>
      </c>
      <c r="EQ81" s="518">
        <v>-2502.698959183982</v>
      </c>
      <c r="ER81" s="518">
        <v>0</v>
      </c>
      <c r="ES81" s="518">
        <v>-1502</v>
      </c>
      <c r="ET81" s="518">
        <v>0</v>
      </c>
      <c r="EU81" s="518">
        <v>0</v>
      </c>
      <c r="EV81" s="518">
        <v>0</v>
      </c>
      <c r="EW81" s="518">
        <v>0</v>
      </c>
      <c r="EX81" s="518">
        <v>-22680.611130037629</v>
      </c>
      <c r="EY81" s="518">
        <v>0</v>
      </c>
      <c r="EZ81" s="518">
        <v>576218.08681076067</v>
      </c>
      <c r="FB81" s="518">
        <v>152636.52278607507</v>
      </c>
      <c r="FC81" s="518">
        <v>-2502.698959183982</v>
      </c>
      <c r="FF81" s="518">
        <v>461907.96778793854</v>
      </c>
      <c r="FI81" s="488">
        <v>4842.1687967290809</v>
      </c>
      <c r="FK81" s="488">
        <v>119</v>
      </c>
      <c r="FL81" s="488">
        <v>0</v>
      </c>
      <c r="FM81" s="488">
        <v>119</v>
      </c>
    </row>
    <row r="82" spans="1:169" s="488" customFormat="1" x14ac:dyDescent="0.2">
      <c r="A82" s="489" t="s">
        <v>62</v>
      </c>
      <c r="B82" s="489" t="s">
        <v>870</v>
      </c>
      <c r="C82" s="489">
        <v>3531</v>
      </c>
      <c r="D82" s="488" t="s">
        <v>169</v>
      </c>
      <c r="E82" s="490"/>
      <c r="F82" s="490"/>
      <c r="G82" s="490"/>
      <c r="H82" s="490"/>
      <c r="I82" s="490"/>
      <c r="J82" s="490"/>
      <c r="K82" s="490"/>
      <c r="L82" s="490"/>
      <c r="M82" s="490"/>
      <c r="N82" s="528">
        <v>197</v>
      </c>
      <c r="O82" s="529">
        <v>307.16239999999999</v>
      </c>
      <c r="P82" s="530">
        <v>506152.71637518168</v>
      </c>
      <c r="Q82" s="528">
        <v>102</v>
      </c>
      <c r="R82" s="529">
        <v>151.67400000000001</v>
      </c>
      <c r="S82" s="530">
        <v>249933.60874732491</v>
      </c>
      <c r="T82" s="531">
        <v>51</v>
      </c>
      <c r="U82" s="529">
        <v>89.963999999999999</v>
      </c>
      <c r="V82" s="530">
        <v>148245.75851724314</v>
      </c>
      <c r="W82" s="491"/>
      <c r="X82" s="532">
        <v>0</v>
      </c>
      <c r="Y82" s="530">
        <v>0</v>
      </c>
      <c r="Z82" s="529">
        <v>350</v>
      </c>
      <c r="AA82" s="532">
        <v>548.80039999999997</v>
      </c>
      <c r="AB82" s="530">
        <v>904333</v>
      </c>
      <c r="AC82" s="490"/>
      <c r="AD82" s="490"/>
      <c r="AE82" s="490"/>
      <c r="AF82" s="490"/>
      <c r="AG82" s="490"/>
      <c r="AH82" s="490"/>
      <c r="AI82" s="533"/>
      <c r="AJ82" s="530">
        <v>0</v>
      </c>
      <c r="AK82" s="530">
        <v>0</v>
      </c>
      <c r="AL82" s="530">
        <v>7103.95</v>
      </c>
      <c r="AM82" s="534"/>
      <c r="AN82" s="530">
        <v>0</v>
      </c>
      <c r="AO82" s="535">
        <v>116.7</v>
      </c>
      <c r="AP82" s="530">
        <v>4490.0392940578486</v>
      </c>
      <c r="AQ82" s="536">
        <v>2</v>
      </c>
      <c r="AR82" s="530">
        <v>22680.611130037629</v>
      </c>
      <c r="AS82" s="490"/>
      <c r="AT82" s="536">
        <v>5</v>
      </c>
      <c r="AU82" s="536">
        <v>5</v>
      </c>
      <c r="AV82" s="537">
        <v>5</v>
      </c>
      <c r="AW82" s="538">
        <v>3003.2387510207782</v>
      </c>
      <c r="AX82" s="539"/>
      <c r="AY82" s="535">
        <v>0</v>
      </c>
      <c r="AZ82" s="540"/>
      <c r="BA82" s="499"/>
      <c r="BB82" s="528">
        <v>7</v>
      </c>
      <c r="BC82" s="528">
        <v>5332.1167161226504</v>
      </c>
      <c r="BD82" s="528">
        <v>13</v>
      </c>
      <c r="BE82" s="538">
        <v>4248.1912751213677</v>
      </c>
      <c r="BF82" s="535">
        <v>314</v>
      </c>
      <c r="BG82" s="535">
        <v>77</v>
      </c>
      <c r="BH82" s="535">
        <v>326</v>
      </c>
      <c r="BI82" s="535">
        <v>78</v>
      </c>
      <c r="BJ82" s="536">
        <v>350</v>
      </c>
      <c r="BK82" s="536">
        <v>69</v>
      </c>
      <c r="BL82" s="541">
        <v>330</v>
      </c>
      <c r="BM82" s="541">
        <v>74.67</v>
      </c>
      <c r="BN82" s="542">
        <v>22.63</v>
      </c>
      <c r="BO82" s="529">
        <v>79.209999999999994</v>
      </c>
      <c r="BP82" s="528">
        <v>116812.20789626383</v>
      </c>
      <c r="BQ82" s="536">
        <v>36</v>
      </c>
      <c r="BR82" s="530">
        <v>7234.97</v>
      </c>
      <c r="BS82" s="536">
        <v>79</v>
      </c>
      <c r="BT82" s="530">
        <v>15964.735551949459</v>
      </c>
      <c r="BU82" s="530">
        <v>504</v>
      </c>
      <c r="BV82" s="530">
        <v>114600.24136423261</v>
      </c>
      <c r="BW82" s="536">
        <v>10</v>
      </c>
      <c r="BX82" s="530">
        <v>8561.1742475261744</v>
      </c>
      <c r="BY82" s="500"/>
      <c r="BZ82" s="282"/>
      <c r="CA82" s="282"/>
      <c r="CB82" s="490"/>
      <c r="CC82" s="490"/>
      <c r="CD82" s="490"/>
      <c r="CE82" s="282"/>
      <c r="CF82" s="490"/>
      <c r="CG82" s="543">
        <v>350</v>
      </c>
      <c r="CH82" s="532" t="e">
        <v>#DIV/0!</v>
      </c>
      <c r="CI82" s="532" t="e">
        <v>#DIV/0!</v>
      </c>
      <c r="CJ82" s="544"/>
      <c r="CK82" s="490"/>
      <c r="CL82" s="545">
        <v>1878</v>
      </c>
      <c r="CM82" s="546">
        <v>3</v>
      </c>
      <c r="CN82" s="532">
        <v>5634</v>
      </c>
      <c r="CO82" s="530">
        <v>8064.18</v>
      </c>
      <c r="CP82" s="490"/>
      <c r="CQ82" s="490"/>
      <c r="CR82" s="490"/>
      <c r="CS82" s="490"/>
      <c r="CT82" s="490"/>
      <c r="CU82" s="490"/>
      <c r="CV82" s="490"/>
      <c r="CW82" s="490"/>
      <c r="CX82" s="490"/>
      <c r="CY82" s="547"/>
      <c r="CZ82" s="530">
        <v>0</v>
      </c>
      <c r="DA82" s="506">
        <v>2885.4</v>
      </c>
      <c r="DB82" s="548"/>
      <c r="DC82" s="537">
        <v>0</v>
      </c>
      <c r="DD82" s="530">
        <v>0</v>
      </c>
      <c r="DE82" s="490"/>
      <c r="DF82" s="529">
        <v>1</v>
      </c>
      <c r="DG82" s="549">
        <v>70073.495851086889</v>
      </c>
      <c r="DH82" s="550"/>
      <c r="DI82" s="530">
        <v>0</v>
      </c>
      <c r="DJ82" s="551"/>
      <c r="DK82" s="552"/>
      <c r="DL82" s="282"/>
      <c r="DM82" s="490"/>
      <c r="DN82" s="509"/>
      <c r="DO82" s="553">
        <v>1</v>
      </c>
      <c r="DP82" s="530">
        <v>1208.7644276624724</v>
      </c>
      <c r="DQ82" s="282"/>
      <c r="DR82" s="510"/>
      <c r="DS82" s="282"/>
      <c r="DT82" s="541">
        <v>0</v>
      </c>
      <c r="DU82" s="541">
        <v>0</v>
      </c>
      <c r="DV82" s="490"/>
      <c r="DW82" s="490"/>
      <c r="DX82" s="511"/>
      <c r="DY82" s="512">
        <v>0</v>
      </c>
      <c r="DZ82" s="513">
        <v>1296596.3165050815</v>
      </c>
      <c r="EA82" s="513">
        <v>0</v>
      </c>
      <c r="EB82" s="514">
        <v>0</v>
      </c>
      <c r="EC82" s="514">
        <v>0</v>
      </c>
      <c r="ED82" s="514">
        <v>0</v>
      </c>
      <c r="EE82" s="494"/>
      <c r="EF82" s="513">
        <v>1296596.3165050815</v>
      </c>
      <c r="EG82" s="513">
        <v>1293710.9165050816</v>
      </c>
      <c r="EH82" s="515">
        <v>350</v>
      </c>
      <c r="EI82" s="516">
        <v>14680.368967657218</v>
      </c>
      <c r="EJ82" s="517"/>
      <c r="EL82" s="518"/>
      <c r="EM82" s="518">
        <v>1296596.3165050815</v>
      </c>
      <c r="EN82" s="518">
        <v>0</v>
      </c>
      <c r="EO82" s="518">
        <v>0</v>
      </c>
      <c r="EP82" s="518">
        <v>0</v>
      </c>
      <c r="EQ82" s="518">
        <v>-3003.2387510207782</v>
      </c>
      <c r="ER82" s="518">
        <v>0</v>
      </c>
      <c r="ES82" s="518">
        <v>0</v>
      </c>
      <c r="ET82" s="518">
        <v>0</v>
      </c>
      <c r="EU82" s="518">
        <v>0</v>
      </c>
      <c r="EV82" s="518">
        <v>0</v>
      </c>
      <c r="EW82" s="518">
        <v>0</v>
      </c>
      <c r="EX82" s="518">
        <v>-22680.611130037629</v>
      </c>
      <c r="EY82" s="518">
        <v>0</v>
      </c>
      <c r="EZ82" s="518">
        <v>1270912.4666240232</v>
      </c>
      <c r="FB82" s="518">
        <v>0</v>
      </c>
      <c r="FC82" s="518">
        <v>-3003.2387510207782</v>
      </c>
      <c r="FF82" s="518">
        <v>1158082.4746518075</v>
      </c>
      <c r="FI82" s="488">
        <v>3683.8042510841251</v>
      </c>
      <c r="FK82" s="488">
        <v>345</v>
      </c>
      <c r="FL82" s="488">
        <v>0</v>
      </c>
      <c r="FM82" s="488">
        <v>345</v>
      </c>
    </row>
    <row r="83" spans="1:169" s="488" customFormat="1" x14ac:dyDescent="0.2">
      <c r="A83" s="489" t="s">
        <v>318</v>
      </c>
      <c r="B83" s="489" t="s">
        <v>871</v>
      </c>
      <c r="C83" s="489">
        <v>3526</v>
      </c>
      <c r="D83" s="488" t="s">
        <v>169</v>
      </c>
      <c r="E83" s="490"/>
      <c r="F83" s="490"/>
      <c r="G83" s="490"/>
      <c r="H83" s="490"/>
      <c r="I83" s="490"/>
      <c r="J83" s="490"/>
      <c r="K83" s="490"/>
      <c r="L83" s="490"/>
      <c r="M83" s="490"/>
      <c r="N83" s="528">
        <v>0</v>
      </c>
      <c r="O83" s="529">
        <v>0</v>
      </c>
      <c r="P83" s="530">
        <v>0</v>
      </c>
      <c r="Q83" s="528">
        <v>60</v>
      </c>
      <c r="R83" s="529">
        <v>89.22</v>
      </c>
      <c r="S83" s="530">
        <v>147019.7698513676</v>
      </c>
      <c r="T83" s="531">
        <v>28</v>
      </c>
      <c r="U83" s="529">
        <v>49.392000000000003</v>
      </c>
      <c r="V83" s="530">
        <v>81389.828205545258</v>
      </c>
      <c r="W83" s="491"/>
      <c r="X83" s="532">
        <v>0</v>
      </c>
      <c r="Y83" s="530">
        <v>0</v>
      </c>
      <c r="Z83" s="529">
        <v>88</v>
      </c>
      <c r="AA83" s="532">
        <v>138.61199999999999</v>
      </c>
      <c r="AB83" s="530">
        <v>228410</v>
      </c>
      <c r="AC83" s="490"/>
      <c r="AD83" s="490"/>
      <c r="AE83" s="490"/>
      <c r="AF83" s="490"/>
      <c r="AG83" s="490"/>
      <c r="AH83" s="490"/>
      <c r="AI83" s="533"/>
      <c r="AJ83" s="530">
        <v>88</v>
      </c>
      <c r="AK83" s="530">
        <v>1522.79</v>
      </c>
      <c r="AL83" s="530">
        <v>1786.14</v>
      </c>
      <c r="AM83" s="534"/>
      <c r="AN83" s="530">
        <v>0</v>
      </c>
      <c r="AO83" s="535">
        <v>25.4</v>
      </c>
      <c r="AP83" s="530">
        <v>977.26647874095408</v>
      </c>
      <c r="AQ83" s="536">
        <v>1</v>
      </c>
      <c r="AR83" s="530">
        <v>11340.305565018814</v>
      </c>
      <c r="AS83" s="490"/>
      <c r="AT83" s="536">
        <v>0</v>
      </c>
      <c r="AU83" s="536">
        <v>0</v>
      </c>
      <c r="AV83" s="537">
        <v>0</v>
      </c>
      <c r="AW83" s="538">
        <v>0</v>
      </c>
      <c r="AX83" s="539"/>
      <c r="AY83" s="535">
        <v>0</v>
      </c>
      <c r="AZ83" s="540"/>
      <c r="BA83" s="499"/>
      <c r="BB83" s="528">
        <v>7</v>
      </c>
      <c r="BC83" s="528">
        <v>5332.1167161226504</v>
      </c>
      <c r="BD83" s="528">
        <v>8</v>
      </c>
      <c r="BE83" s="538">
        <v>2614.2715539208416</v>
      </c>
      <c r="BF83" s="535">
        <v>87</v>
      </c>
      <c r="BG83" s="535">
        <v>25</v>
      </c>
      <c r="BH83" s="535">
        <v>87</v>
      </c>
      <c r="BI83" s="535">
        <v>23</v>
      </c>
      <c r="BJ83" s="536">
        <v>88</v>
      </c>
      <c r="BK83" s="536">
        <v>27</v>
      </c>
      <c r="BL83" s="541">
        <v>87.33</v>
      </c>
      <c r="BM83" s="541">
        <v>25</v>
      </c>
      <c r="BN83" s="542">
        <v>28.63</v>
      </c>
      <c r="BO83" s="529">
        <v>25.19</v>
      </c>
      <c r="BP83" s="528">
        <v>37148.081263816268</v>
      </c>
      <c r="BQ83" s="536">
        <v>47</v>
      </c>
      <c r="BR83" s="530">
        <v>9445.66</v>
      </c>
      <c r="BS83" s="536">
        <v>52</v>
      </c>
      <c r="BT83" s="530">
        <v>10508.433527865467</v>
      </c>
      <c r="BU83" s="530">
        <v>258</v>
      </c>
      <c r="BV83" s="530">
        <v>58664.409269785741</v>
      </c>
      <c r="BW83" s="536">
        <v>2</v>
      </c>
      <c r="BX83" s="530">
        <v>1712.2348495052349</v>
      </c>
      <c r="BY83" s="500"/>
      <c r="BZ83" s="282"/>
      <c r="CA83" s="282"/>
      <c r="CB83" s="490"/>
      <c r="CC83" s="490"/>
      <c r="CD83" s="490"/>
      <c r="CE83" s="282"/>
      <c r="CF83" s="490"/>
      <c r="CG83" s="543">
        <v>88</v>
      </c>
      <c r="CH83" s="532" t="e">
        <v>#DIV/0!</v>
      </c>
      <c r="CI83" s="532" t="e">
        <v>#DIV/0!</v>
      </c>
      <c r="CJ83" s="544"/>
      <c r="CK83" s="490"/>
      <c r="CL83" s="545">
        <v>541.99769297318085</v>
      </c>
      <c r="CM83" s="546">
        <v>2</v>
      </c>
      <c r="CN83" s="532">
        <v>1083.9953859463617</v>
      </c>
      <c r="CO83" s="530">
        <v>1551.57</v>
      </c>
      <c r="CP83" s="490"/>
      <c r="CQ83" s="490"/>
      <c r="CR83" s="490"/>
      <c r="CS83" s="490"/>
      <c r="CT83" s="490"/>
      <c r="CU83" s="490"/>
      <c r="CV83" s="490"/>
      <c r="CW83" s="490"/>
      <c r="CX83" s="490"/>
      <c r="CY83" s="547"/>
      <c r="CZ83" s="530">
        <v>0</v>
      </c>
      <c r="DA83" s="506">
        <v>956.73</v>
      </c>
      <c r="DB83" s="548">
        <v>1198899</v>
      </c>
      <c r="DC83" s="537">
        <v>11.988989999999999</v>
      </c>
      <c r="DD83" s="530">
        <v>2289.2399999999998</v>
      </c>
      <c r="DE83" s="490"/>
      <c r="DF83" s="529">
        <v>1</v>
      </c>
      <c r="DG83" s="549">
        <v>74722.185859261808</v>
      </c>
      <c r="DH83" s="550"/>
      <c r="DI83" s="530">
        <v>0</v>
      </c>
      <c r="DJ83" s="551"/>
      <c r="DK83" s="552"/>
      <c r="DL83" s="282"/>
      <c r="DM83" s="490"/>
      <c r="DN83" s="509"/>
      <c r="DO83" s="553">
        <v>1</v>
      </c>
      <c r="DP83" s="530">
        <v>303.91791324085017</v>
      </c>
      <c r="DQ83" s="282"/>
      <c r="DR83" s="510"/>
      <c r="DS83" s="282"/>
      <c r="DT83" s="541">
        <v>50.494736842105254</v>
      </c>
      <c r="DU83" s="541">
        <v>14257.493434737313</v>
      </c>
      <c r="DV83" s="490"/>
      <c r="DW83" s="490"/>
      <c r="DX83" s="511">
        <v>87133.835600000006</v>
      </c>
      <c r="DY83" s="512">
        <v>0</v>
      </c>
      <c r="DZ83" s="513">
        <v>550676.68203201599</v>
      </c>
      <c r="EA83" s="513">
        <v>0</v>
      </c>
      <c r="EB83" s="514">
        <v>0</v>
      </c>
      <c r="EC83" s="514">
        <v>0</v>
      </c>
      <c r="ED83" s="514">
        <v>-16409.817800000004</v>
      </c>
      <c r="EE83" s="494"/>
      <c r="EF83" s="513">
        <v>534266.86423201603</v>
      </c>
      <c r="EG83" s="513">
        <v>533310.13423201605</v>
      </c>
      <c r="EH83" s="515">
        <v>88</v>
      </c>
      <c r="EI83" s="516">
        <v>3691.0641975823864</v>
      </c>
      <c r="EJ83" s="517"/>
      <c r="EL83" s="518"/>
      <c r="EM83" s="518">
        <v>534266.86423201603</v>
      </c>
      <c r="EN83" s="518">
        <v>-87133.835600000006</v>
      </c>
      <c r="EO83" s="518">
        <v>16409.817800000004</v>
      </c>
      <c r="EP83" s="518">
        <v>0</v>
      </c>
      <c r="EQ83" s="518">
        <v>0</v>
      </c>
      <c r="ER83" s="518">
        <v>0</v>
      </c>
      <c r="ES83" s="518">
        <v>0</v>
      </c>
      <c r="ET83" s="518">
        <v>0</v>
      </c>
      <c r="EU83" s="518">
        <v>0</v>
      </c>
      <c r="EV83" s="518">
        <v>0</v>
      </c>
      <c r="EW83" s="518">
        <v>0</v>
      </c>
      <c r="EX83" s="518">
        <v>-11340.305565018814</v>
      </c>
      <c r="EY83" s="518">
        <v>0</v>
      </c>
      <c r="EZ83" s="518">
        <v>452202.54086699727</v>
      </c>
      <c r="FB83" s="518">
        <v>70724.017800000001</v>
      </c>
      <c r="FC83" s="518">
        <v>0</v>
      </c>
      <c r="FF83" s="518">
        <v>355273.91344720806</v>
      </c>
      <c r="FI83" s="488">
        <v>5024.4726762999699</v>
      </c>
      <c r="FK83" s="488">
        <v>90</v>
      </c>
      <c r="FL83" s="488">
        <v>0</v>
      </c>
      <c r="FM83" s="488">
        <v>90</v>
      </c>
    </row>
    <row r="84" spans="1:169" s="488" customFormat="1" x14ac:dyDescent="0.2">
      <c r="A84" s="489" t="s">
        <v>319</v>
      </c>
      <c r="B84" s="489" t="s">
        <v>872</v>
      </c>
      <c r="C84" s="489">
        <v>3535</v>
      </c>
      <c r="D84" s="488" t="s">
        <v>169</v>
      </c>
      <c r="E84" s="490"/>
      <c r="F84" s="490"/>
      <c r="G84" s="490"/>
      <c r="H84" s="490"/>
      <c r="I84" s="490"/>
      <c r="J84" s="490"/>
      <c r="K84" s="490"/>
      <c r="L84" s="490"/>
      <c r="M84" s="490"/>
      <c r="N84" s="528">
        <v>263</v>
      </c>
      <c r="O84" s="529">
        <v>410.06959999999998</v>
      </c>
      <c r="P84" s="530">
        <v>675726.72287651163</v>
      </c>
      <c r="Q84" s="528">
        <v>0</v>
      </c>
      <c r="R84" s="529">
        <v>0</v>
      </c>
      <c r="S84" s="530">
        <v>0</v>
      </c>
      <c r="T84" s="531">
        <v>0</v>
      </c>
      <c r="U84" s="529">
        <v>0</v>
      </c>
      <c r="V84" s="530">
        <v>0</v>
      </c>
      <c r="W84" s="491"/>
      <c r="X84" s="532">
        <v>0</v>
      </c>
      <c r="Y84" s="530">
        <v>0</v>
      </c>
      <c r="Z84" s="529">
        <v>263</v>
      </c>
      <c r="AA84" s="532">
        <v>410.06959999999998</v>
      </c>
      <c r="AB84" s="530">
        <v>675727</v>
      </c>
      <c r="AC84" s="490"/>
      <c r="AD84" s="490"/>
      <c r="AE84" s="490"/>
      <c r="AF84" s="490"/>
      <c r="AG84" s="490"/>
      <c r="AH84" s="490"/>
      <c r="AI84" s="533"/>
      <c r="AJ84" s="530">
        <v>263</v>
      </c>
      <c r="AK84" s="530">
        <v>4551.07</v>
      </c>
      <c r="AL84" s="530">
        <v>5338.11</v>
      </c>
      <c r="AM84" s="534"/>
      <c r="AN84" s="530">
        <v>0</v>
      </c>
      <c r="AO84" s="535">
        <v>106.3</v>
      </c>
      <c r="AP84" s="530">
        <v>4089.8986885891118</v>
      </c>
      <c r="AQ84" s="536">
        <v>0</v>
      </c>
      <c r="AR84" s="530">
        <v>0</v>
      </c>
      <c r="AS84" s="490"/>
      <c r="AT84" s="536">
        <v>10</v>
      </c>
      <c r="AU84" s="536">
        <v>27.5</v>
      </c>
      <c r="AV84" s="537">
        <v>20.208333333333332</v>
      </c>
      <c r="AW84" s="538">
        <v>12138.08995204231</v>
      </c>
      <c r="AX84" s="539"/>
      <c r="AY84" s="535">
        <v>0</v>
      </c>
      <c r="AZ84" s="540"/>
      <c r="BA84" s="499"/>
      <c r="BB84" s="528">
        <v>33</v>
      </c>
      <c r="BC84" s="528">
        <v>25137.121661721067</v>
      </c>
      <c r="BD84" s="528">
        <v>30</v>
      </c>
      <c r="BE84" s="538">
        <v>9803.5183272031554</v>
      </c>
      <c r="BF84" s="535">
        <v>259</v>
      </c>
      <c r="BG84" s="535">
        <v>78</v>
      </c>
      <c r="BH84" s="535">
        <v>258</v>
      </c>
      <c r="BI84" s="535">
        <v>69</v>
      </c>
      <c r="BJ84" s="536">
        <v>263</v>
      </c>
      <c r="BK84" s="536">
        <v>70</v>
      </c>
      <c r="BL84" s="541">
        <v>260</v>
      </c>
      <c r="BM84" s="541">
        <v>72.33</v>
      </c>
      <c r="BN84" s="542">
        <v>27.82</v>
      </c>
      <c r="BO84" s="529">
        <v>73.17</v>
      </c>
      <c r="BP84" s="528">
        <v>107904.92679926305</v>
      </c>
      <c r="BQ84" s="536">
        <v>220</v>
      </c>
      <c r="BR84" s="530">
        <v>44213.71</v>
      </c>
      <c r="BS84" s="536">
        <v>195</v>
      </c>
      <c r="BT84" s="530">
        <v>39406.625729495499</v>
      </c>
      <c r="BU84" s="530">
        <v>762</v>
      </c>
      <c r="BV84" s="530">
        <v>173264.65063401836</v>
      </c>
      <c r="BW84" s="536">
        <v>10</v>
      </c>
      <c r="BX84" s="530">
        <v>8561.1742475261744</v>
      </c>
      <c r="BY84" s="500"/>
      <c r="BZ84" s="282"/>
      <c r="CA84" s="282"/>
      <c r="CB84" s="490"/>
      <c r="CC84" s="490"/>
      <c r="CD84" s="490"/>
      <c r="CE84" s="282"/>
      <c r="CF84" s="490"/>
      <c r="CG84" s="543">
        <v>263</v>
      </c>
      <c r="CH84" s="532" t="e">
        <v>#DIV/0!</v>
      </c>
      <c r="CI84" s="532" t="e">
        <v>#DIV/0!</v>
      </c>
      <c r="CJ84" s="544"/>
      <c r="CK84" s="490"/>
      <c r="CL84" s="545">
        <v>1469.63</v>
      </c>
      <c r="CM84" s="546">
        <v>3</v>
      </c>
      <c r="CN84" s="532">
        <v>4408.8900000000003</v>
      </c>
      <c r="CO84" s="530">
        <v>6310.63</v>
      </c>
      <c r="CP84" s="490"/>
      <c r="CQ84" s="490"/>
      <c r="CR84" s="490"/>
      <c r="CS84" s="490"/>
      <c r="CT84" s="490"/>
      <c r="CU84" s="490"/>
      <c r="CV84" s="490"/>
      <c r="CW84" s="490"/>
      <c r="CX84" s="490"/>
      <c r="CY84" s="547"/>
      <c r="CZ84" s="530">
        <v>0</v>
      </c>
      <c r="DA84" s="506">
        <v>2267.1</v>
      </c>
      <c r="DB84" s="548">
        <v>2854581</v>
      </c>
      <c r="DC84" s="537">
        <v>28.545809999999999</v>
      </c>
      <c r="DD84" s="530">
        <v>5450.68</v>
      </c>
      <c r="DE84" s="490"/>
      <c r="DF84" s="529">
        <v>1</v>
      </c>
      <c r="DG84" s="549">
        <v>70073.495851086889</v>
      </c>
      <c r="DH84" s="550"/>
      <c r="DI84" s="530">
        <v>0</v>
      </c>
      <c r="DJ84" s="551"/>
      <c r="DK84" s="552"/>
      <c r="DL84" s="282"/>
      <c r="DM84" s="490"/>
      <c r="DN84" s="509"/>
      <c r="DO84" s="553">
        <v>1</v>
      </c>
      <c r="DP84" s="530">
        <v>908.3001270720863</v>
      </c>
      <c r="DQ84" s="282"/>
      <c r="DR84" s="510"/>
      <c r="DS84" s="282"/>
      <c r="DT84" s="541">
        <v>0</v>
      </c>
      <c r="DU84" s="541">
        <v>0</v>
      </c>
      <c r="DV84" s="490"/>
      <c r="DW84" s="490"/>
      <c r="DX84" s="511"/>
      <c r="DY84" s="512">
        <v>0</v>
      </c>
      <c r="DZ84" s="513">
        <v>1195146.1020180176</v>
      </c>
      <c r="EA84" s="513">
        <v>7609.1426011084113</v>
      </c>
      <c r="EB84" s="514">
        <v>501</v>
      </c>
      <c r="EC84" s="514">
        <v>0</v>
      </c>
      <c r="ED84" s="514">
        <v>0</v>
      </c>
      <c r="EE84" s="494"/>
      <c r="EF84" s="513">
        <v>1203256.244619126</v>
      </c>
      <c r="EG84" s="513">
        <v>1200989.1446191259</v>
      </c>
      <c r="EH84" s="515">
        <v>263</v>
      </c>
      <c r="EI84" s="516">
        <v>11031.248681410996</v>
      </c>
      <c r="EJ84" s="517"/>
      <c r="EL84" s="518"/>
      <c r="EM84" s="518">
        <v>1203256.244619126</v>
      </c>
      <c r="EN84" s="518">
        <v>0</v>
      </c>
      <c r="EO84" s="518">
        <v>0</v>
      </c>
      <c r="EP84" s="518">
        <v>0</v>
      </c>
      <c r="EQ84" s="518">
        <v>-12138.08995204231</v>
      </c>
      <c r="ER84" s="518">
        <v>0</v>
      </c>
      <c r="ES84" s="518">
        <v>-501</v>
      </c>
      <c r="ET84" s="518">
        <v>0</v>
      </c>
      <c r="EU84" s="518">
        <v>0</v>
      </c>
      <c r="EV84" s="518">
        <v>0</v>
      </c>
      <c r="EW84" s="518">
        <v>0</v>
      </c>
      <c r="EX84" s="518">
        <v>0</v>
      </c>
      <c r="EY84" s="518">
        <v>0</v>
      </c>
      <c r="EZ84" s="518">
        <v>1190617.1546670836</v>
      </c>
      <c r="FB84" s="518">
        <v>0</v>
      </c>
      <c r="FC84" s="518">
        <v>-12138.08995204231</v>
      </c>
      <c r="FF84" s="518">
        <v>1035716.8834696008</v>
      </c>
      <c r="FI84" s="488">
        <v>4669.0868810473867</v>
      </c>
      <c r="FK84" s="488">
        <v>255</v>
      </c>
      <c r="FL84" s="488">
        <v>0</v>
      </c>
      <c r="FM84" s="488">
        <v>255</v>
      </c>
    </row>
    <row r="85" spans="1:169" s="488" customFormat="1" x14ac:dyDescent="0.2">
      <c r="A85" s="489" t="s">
        <v>320</v>
      </c>
      <c r="B85" s="489" t="s">
        <v>873</v>
      </c>
      <c r="C85" s="489">
        <v>3533</v>
      </c>
      <c r="D85" s="488" t="s">
        <v>169</v>
      </c>
      <c r="E85" s="490"/>
      <c r="F85" s="490"/>
      <c r="G85" s="490"/>
      <c r="H85" s="490"/>
      <c r="I85" s="490"/>
      <c r="J85" s="490"/>
      <c r="K85" s="490"/>
      <c r="L85" s="490"/>
      <c r="M85" s="490"/>
      <c r="N85" s="528">
        <v>123</v>
      </c>
      <c r="O85" s="529">
        <v>191.7816</v>
      </c>
      <c r="P85" s="530">
        <v>316024.28484338755</v>
      </c>
      <c r="Q85" s="528">
        <v>60</v>
      </c>
      <c r="R85" s="529">
        <v>89.22</v>
      </c>
      <c r="S85" s="530">
        <v>147019.7698513676</v>
      </c>
      <c r="T85" s="531">
        <v>30</v>
      </c>
      <c r="U85" s="529">
        <v>52.92</v>
      </c>
      <c r="V85" s="530">
        <v>87203.387363084214</v>
      </c>
      <c r="W85" s="491"/>
      <c r="X85" s="532">
        <v>0</v>
      </c>
      <c r="Y85" s="530">
        <v>0</v>
      </c>
      <c r="Z85" s="529">
        <v>213</v>
      </c>
      <c r="AA85" s="532">
        <v>333.92160000000001</v>
      </c>
      <c r="AB85" s="530">
        <v>550248</v>
      </c>
      <c r="AC85" s="490"/>
      <c r="AD85" s="490"/>
      <c r="AE85" s="490"/>
      <c r="AF85" s="490"/>
      <c r="AG85" s="490"/>
      <c r="AH85" s="490"/>
      <c r="AI85" s="533"/>
      <c r="AJ85" s="530">
        <v>0</v>
      </c>
      <c r="AK85" s="530">
        <v>0</v>
      </c>
      <c r="AL85" s="530">
        <v>4323.26</v>
      </c>
      <c r="AM85" s="534"/>
      <c r="AN85" s="530">
        <v>0</v>
      </c>
      <c r="AO85" s="535">
        <v>53.4</v>
      </c>
      <c r="AP85" s="530">
        <v>2054.5681088490924</v>
      </c>
      <c r="AQ85" s="536">
        <v>1</v>
      </c>
      <c r="AR85" s="530">
        <v>11340.305565018814</v>
      </c>
      <c r="AS85" s="490"/>
      <c r="AT85" s="536">
        <v>17.5</v>
      </c>
      <c r="AU85" s="536">
        <v>17.5</v>
      </c>
      <c r="AV85" s="537">
        <v>17.5</v>
      </c>
      <c r="AW85" s="538">
        <v>10511.335628572724</v>
      </c>
      <c r="AX85" s="539"/>
      <c r="AY85" s="535">
        <v>0</v>
      </c>
      <c r="AZ85" s="540"/>
      <c r="BA85" s="499"/>
      <c r="BB85" s="528">
        <v>13</v>
      </c>
      <c r="BC85" s="528">
        <v>9902.5024727992077</v>
      </c>
      <c r="BD85" s="528">
        <v>22</v>
      </c>
      <c r="BE85" s="538">
        <v>7189.2467732823143</v>
      </c>
      <c r="BF85" s="535">
        <v>190</v>
      </c>
      <c r="BG85" s="535">
        <v>60</v>
      </c>
      <c r="BH85" s="535">
        <v>201</v>
      </c>
      <c r="BI85" s="535">
        <v>49</v>
      </c>
      <c r="BJ85" s="536">
        <v>213</v>
      </c>
      <c r="BK85" s="536">
        <v>55</v>
      </c>
      <c r="BL85" s="541">
        <v>201.33</v>
      </c>
      <c r="BM85" s="541">
        <v>54.67</v>
      </c>
      <c r="BN85" s="542">
        <v>27.15</v>
      </c>
      <c r="BO85" s="529">
        <v>57.83</v>
      </c>
      <c r="BP85" s="528">
        <v>85282.792357542465</v>
      </c>
      <c r="BQ85" s="536">
        <v>25</v>
      </c>
      <c r="BR85" s="530">
        <v>5024.29</v>
      </c>
      <c r="BS85" s="536">
        <v>61</v>
      </c>
      <c r="BT85" s="530">
        <v>12327.200869226797</v>
      </c>
      <c r="BU85" s="530">
        <v>378</v>
      </c>
      <c r="BV85" s="530">
        <v>85950.18102317446</v>
      </c>
      <c r="BW85" s="536">
        <v>1</v>
      </c>
      <c r="BX85" s="530">
        <v>856.11742475261747</v>
      </c>
      <c r="BY85" s="500"/>
      <c r="BZ85" s="282"/>
      <c r="CA85" s="282"/>
      <c r="CB85" s="490"/>
      <c r="CC85" s="490"/>
      <c r="CD85" s="490"/>
      <c r="CE85" s="282"/>
      <c r="CF85" s="490"/>
      <c r="CG85" s="543">
        <v>213</v>
      </c>
      <c r="CH85" s="532" t="e">
        <v>#DIV/0!</v>
      </c>
      <c r="CI85" s="532" t="e">
        <v>#DIV/0!</v>
      </c>
      <c r="CJ85" s="544"/>
      <c r="CK85" s="490"/>
      <c r="CL85" s="545">
        <v>1246.07</v>
      </c>
      <c r="CM85" s="546">
        <v>2</v>
      </c>
      <c r="CN85" s="532">
        <v>2492.14</v>
      </c>
      <c r="CO85" s="530">
        <v>3567.1</v>
      </c>
      <c r="CP85" s="490"/>
      <c r="CQ85" s="490"/>
      <c r="CR85" s="490"/>
      <c r="CS85" s="490"/>
      <c r="CT85" s="490"/>
      <c r="CU85" s="490"/>
      <c r="CV85" s="490"/>
      <c r="CW85" s="490"/>
      <c r="CX85" s="490"/>
      <c r="CY85" s="547"/>
      <c r="CZ85" s="530">
        <v>0</v>
      </c>
      <c r="DA85" s="506">
        <v>2358.6999999999998</v>
      </c>
      <c r="DB85" s="548"/>
      <c r="DC85" s="537">
        <v>0</v>
      </c>
      <c r="DD85" s="530">
        <v>0</v>
      </c>
      <c r="DE85" s="490"/>
      <c r="DF85" s="529">
        <v>1</v>
      </c>
      <c r="DG85" s="549">
        <v>70073.495851086889</v>
      </c>
      <c r="DH85" s="550"/>
      <c r="DI85" s="530">
        <v>0</v>
      </c>
      <c r="DJ85" s="551"/>
      <c r="DK85" s="552"/>
      <c r="DL85" s="282"/>
      <c r="DM85" s="490"/>
      <c r="DN85" s="509"/>
      <c r="DO85" s="553">
        <v>1</v>
      </c>
      <c r="DP85" s="530">
        <v>735.61949454887599</v>
      </c>
      <c r="DQ85" s="282"/>
      <c r="DR85" s="510"/>
      <c r="DS85" s="282"/>
      <c r="DT85" s="541">
        <v>0</v>
      </c>
      <c r="DU85" s="541">
        <v>0</v>
      </c>
      <c r="DV85" s="490"/>
      <c r="DW85" s="490"/>
      <c r="DX85" s="511"/>
      <c r="DY85" s="512">
        <v>0</v>
      </c>
      <c r="DZ85" s="513">
        <v>861744.71556885412</v>
      </c>
      <c r="EA85" s="513">
        <v>4509.35810113966</v>
      </c>
      <c r="EB85" s="514">
        <v>0</v>
      </c>
      <c r="EC85" s="514">
        <v>0</v>
      </c>
      <c r="ED85" s="514">
        <v>0</v>
      </c>
      <c r="EE85" s="494"/>
      <c r="EF85" s="513">
        <v>866254.07366999378</v>
      </c>
      <c r="EG85" s="513">
        <v>863895.37366999383</v>
      </c>
      <c r="EH85" s="515">
        <v>213</v>
      </c>
      <c r="EI85" s="516">
        <v>8934.0531146028206</v>
      </c>
      <c r="EJ85" s="517"/>
      <c r="EL85" s="518"/>
      <c r="EM85" s="518">
        <v>866254.07366999378</v>
      </c>
      <c r="EN85" s="518">
        <v>0</v>
      </c>
      <c r="EO85" s="518">
        <v>0</v>
      </c>
      <c r="EP85" s="558">
        <v>0</v>
      </c>
      <c r="EQ85" s="518">
        <v>-10511.335628572724</v>
      </c>
      <c r="ER85" s="518">
        <v>0</v>
      </c>
      <c r="ES85" s="518">
        <v>0</v>
      </c>
      <c r="ET85" s="518">
        <v>0</v>
      </c>
      <c r="EU85" s="518">
        <v>0</v>
      </c>
      <c r="EV85" s="518">
        <v>0</v>
      </c>
      <c r="EW85" s="518">
        <v>0</v>
      </c>
      <c r="EX85" s="518">
        <v>-11340.305565018814</v>
      </c>
      <c r="EY85" s="758">
        <v>0</v>
      </c>
      <c r="EZ85" s="518">
        <v>844402.43247640226</v>
      </c>
      <c r="FB85" s="518">
        <v>0</v>
      </c>
      <c r="FC85" s="518">
        <v>-10511.335628572724</v>
      </c>
      <c r="FF85" s="518">
        <v>737999.5027728175</v>
      </c>
      <c r="FI85" s="488">
        <v>4040.2030262028816</v>
      </c>
      <c r="FK85" s="760">
        <v>209</v>
      </c>
      <c r="FL85" s="760">
        <v>0</v>
      </c>
      <c r="FM85" s="488">
        <v>209</v>
      </c>
    </row>
    <row r="86" spans="1:169" s="488" customFormat="1" x14ac:dyDescent="0.2">
      <c r="A86" s="489" t="s">
        <v>321</v>
      </c>
      <c r="B86" s="489" t="s">
        <v>874</v>
      </c>
      <c r="C86" s="489">
        <v>3542</v>
      </c>
      <c r="D86" s="488" t="s">
        <v>169</v>
      </c>
      <c r="E86" s="490"/>
      <c r="F86" s="490"/>
      <c r="G86" s="490"/>
      <c r="H86" s="490"/>
      <c r="I86" s="490"/>
      <c r="J86" s="490"/>
      <c r="K86" s="490"/>
      <c r="L86" s="490"/>
      <c r="M86" s="490"/>
      <c r="N86" s="528">
        <v>198</v>
      </c>
      <c r="O86" s="529">
        <v>308.72159999999997</v>
      </c>
      <c r="P86" s="530">
        <v>508722.01950398966</v>
      </c>
      <c r="Q86" s="528">
        <v>100</v>
      </c>
      <c r="R86" s="529">
        <v>148.69999999999999</v>
      </c>
      <c r="S86" s="530">
        <v>245032.94975227935</v>
      </c>
      <c r="T86" s="531">
        <v>51</v>
      </c>
      <c r="U86" s="529">
        <v>89.963999999999999</v>
      </c>
      <c r="V86" s="530">
        <v>148245.75851724314</v>
      </c>
      <c r="W86" s="491"/>
      <c r="X86" s="532">
        <v>0</v>
      </c>
      <c r="Y86" s="530">
        <v>0</v>
      </c>
      <c r="Z86" s="529">
        <v>349</v>
      </c>
      <c r="AA86" s="532">
        <v>547.38559999999995</v>
      </c>
      <c r="AB86" s="530">
        <v>901999</v>
      </c>
      <c r="AC86" s="490"/>
      <c r="AD86" s="490"/>
      <c r="AE86" s="490"/>
      <c r="AF86" s="490"/>
      <c r="AG86" s="490"/>
      <c r="AH86" s="490"/>
      <c r="AI86" s="533"/>
      <c r="AJ86" s="530">
        <v>349</v>
      </c>
      <c r="AK86" s="530">
        <v>6039.25</v>
      </c>
      <c r="AL86" s="530">
        <v>7083.65</v>
      </c>
      <c r="AM86" s="534"/>
      <c r="AN86" s="530">
        <v>0</v>
      </c>
      <c r="AO86" s="535">
        <v>101.575</v>
      </c>
      <c r="AP86" s="530">
        <v>3908.1040385083629</v>
      </c>
      <c r="AQ86" s="536">
        <v>2</v>
      </c>
      <c r="AR86" s="530">
        <v>22680.611130037629</v>
      </c>
      <c r="AS86" s="490"/>
      <c r="AT86" s="536">
        <v>0</v>
      </c>
      <c r="AU86" s="536">
        <v>0</v>
      </c>
      <c r="AV86" s="537">
        <v>0</v>
      </c>
      <c r="AW86" s="538">
        <v>0</v>
      </c>
      <c r="AX86" s="539"/>
      <c r="AY86" s="535">
        <v>0</v>
      </c>
      <c r="AZ86" s="540"/>
      <c r="BA86" s="499"/>
      <c r="BB86" s="528">
        <v>8</v>
      </c>
      <c r="BC86" s="528">
        <v>6093.8476755687434</v>
      </c>
      <c r="BD86" s="528">
        <v>11</v>
      </c>
      <c r="BE86" s="538">
        <v>3594.6233866411571</v>
      </c>
      <c r="BF86" s="535">
        <v>354</v>
      </c>
      <c r="BG86" s="535">
        <v>46</v>
      </c>
      <c r="BH86" s="535">
        <v>352</v>
      </c>
      <c r="BI86" s="535">
        <v>34</v>
      </c>
      <c r="BJ86" s="536">
        <v>349</v>
      </c>
      <c r="BK86" s="536">
        <v>43</v>
      </c>
      <c r="BL86" s="541">
        <v>351.67</v>
      </c>
      <c r="BM86" s="541">
        <v>41</v>
      </c>
      <c r="BN86" s="542">
        <v>11.66</v>
      </c>
      <c r="BO86" s="529">
        <v>40.69</v>
      </c>
      <c r="BP86" s="528">
        <v>60006.170171682563</v>
      </c>
      <c r="BQ86" s="536">
        <v>123</v>
      </c>
      <c r="BR86" s="530">
        <v>24719.48</v>
      </c>
      <c r="BS86" s="536">
        <v>58</v>
      </c>
      <c r="BT86" s="530">
        <v>11720.94508877302</v>
      </c>
      <c r="BU86" s="530">
        <v>567</v>
      </c>
      <c r="BV86" s="530">
        <v>128925.27153476169</v>
      </c>
      <c r="BW86" s="536">
        <v>7</v>
      </c>
      <c r="BX86" s="530">
        <v>5992.8219732683219</v>
      </c>
      <c r="BY86" s="500"/>
      <c r="BZ86" s="282"/>
      <c r="CA86" s="282"/>
      <c r="CB86" s="490"/>
      <c r="CC86" s="490"/>
      <c r="CD86" s="490"/>
      <c r="CE86" s="282"/>
      <c r="CF86" s="490"/>
      <c r="CG86" s="543">
        <v>349</v>
      </c>
      <c r="CH86" s="532" t="e">
        <v>#DIV/0!</v>
      </c>
      <c r="CI86" s="532" t="e">
        <v>#DIV/0!</v>
      </c>
      <c r="CJ86" s="544"/>
      <c r="CK86" s="490"/>
      <c r="CL86" s="545">
        <v>1803</v>
      </c>
      <c r="CM86" s="546">
        <v>1</v>
      </c>
      <c r="CN86" s="532">
        <v>1803</v>
      </c>
      <c r="CO86" s="530">
        <v>2580.71</v>
      </c>
      <c r="CP86" s="490"/>
      <c r="CQ86" s="490"/>
      <c r="CR86" s="490"/>
      <c r="CS86" s="490"/>
      <c r="CT86" s="490"/>
      <c r="CU86" s="490"/>
      <c r="CV86" s="490"/>
      <c r="CW86" s="490"/>
      <c r="CX86" s="490"/>
      <c r="CY86" s="547"/>
      <c r="CZ86" s="530">
        <v>0</v>
      </c>
      <c r="DA86" s="506">
        <v>4213.6000000000004</v>
      </c>
      <c r="DB86" s="548">
        <v>3640000</v>
      </c>
      <c r="DC86" s="537">
        <v>36.4</v>
      </c>
      <c r="DD86" s="530">
        <v>6950.4</v>
      </c>
      <c r="DE86" s="490"/>
      <c r="DF86" s="529">
        <v>1</v>
      </c>
      <c r="DG86" s="549">
        <v>70073.495851086889</v>
      </c>
      <c r="DH86" s="550"/>
      <c r="DI86" s="530">
        <v>0</v>
      </c>
      <c r="DJ86" s="551"/>
      <c r="DK86" s="552"/>
      <c r="DL86" s="282"/>
      <c r="DM86" s="490"/>
      <c r="DN86" s="509"/>
      <c r="DO86" s="553">
        <v>1</v>
      </c>
      <c r="DP86" s="530">
        <v>1205.3108150120081</v>
      </c>
      <c r="DQ86" s="282"/>
      <c r="DR86" s="510"/>
      <c r="DS86" s="282"/>
      <c r="DT86" s="541">
        <v>0</v>
      </c>
      <c r="DU86" s="541">
        <v>0</v>
      </c>
      <c r="DV86" s="490"/>
      <c r="DW86" s="490"/>
      <c r="DX86" s="511"/>
      <c r="DY86" s="512">
        <v>0</v>
      </c>
      <c r="DZ86" s="513">
        <v>1267787.2916653403</v>
      </c>
      <c r="EA86" s="513">
        <v>0</v>
      </c>
      <c r="EB86" s="514">
        <v>0</v>
      </c>
      <c r="EC86" s="514">
        <v>0</v>
      </c>
      <c r="ED86" s="514">
        <v>0</v>
      </c>
      <c r="EE86" s="494"/>
      <c r="EF86" s="513">
        <v>1267787.2916653403</v>
      </c>
      <c r="EG86" s="513">
        <v>1263573.6916653402</v>
      </c>
      <c r="EH86" s="515">
        <v>349</v>
      </c>
      <c r="EI86" s="516">
        <v>14638.425056321055</v>
      </c>
      <c r="EJ86" s="517"/>
      <c r="EL86" s="518"/>
      <c r="EM86" s="518">
        <v>1267787.2916653403</v>
      </c>
      <c r="EN86" s="518">
        <v>0</v>
      </c>
      <c r="EO86" s="518">
        <v>0</v>
      </c>
      <c r="EP86" s="518">
        <v>0</v>
      </c>
      <c r="EQ86" s="518">
        <v>0</v>
      </c>
      <c r="ER86" s="518">
        <v>0</v>
      </c>
      <c r="ES86" s="518">
        <v>0</v>
      </c>
      <c r="ET86" s="518">
        <v>0</v>
      </c>
      <c r="EU86" s="518">
        <v>0</v>
      </c>
      <c r="EV86" s="518">
        <v>0</v>
      </c>
      <c r="EW86" s="518">
        <v>0</v>
      </c>
      <c r="EX86" s="518">
        <v>-22680.611130037629</v>
      </c>
      <c r="EY86" s="518">
        <v>0</v>
      </c>
      <c r="EZ86" s="518">
        <v>1245106.6805353027</v>
      </c>
      <c r="FB86" s="518">
        <v>0</v>
      </c>
      <c r="FC86" s="518">
        <v>0</v>
      </c>
      <c r="FF86" s="518">
        <v>1128941.9021702935</v>
      </c>
      <c r="FI86" s="488">
        <v>3537.2348878843827</v>
      </c>
      <c r="FK86" s="488">
        <v>352</v>
      </c>
      <c r="FL86" s="488">
        <v>0</v>
      </c>
      <c r="FM86" s="488">
        <v>352</v>
      </c>
    </row>
    <row r="87" spans="1:169" s="488" customFormat="1" x14ac:dyDescent="0.2">
      <c r="A87" s="489" t="s">
        <v>66</v>
      </c>
      <c r="B87" s="489" t="s">
        <v>875</v>
      </c>
      <c r="C87" s="489">
        <v>3528</v>
      </c>
      <c r="D87" s="488" t="s">
        <v>169</v>
      </c>
      <c r="E87" s="490"/>
      <c r="F87" s="490"/>
      <c r="G87" s="490"/>
      <c r="H87" s="490"/>
      <c r="I87" s="490"/>
      <c r="J87" s="490"/>
      <c r="K87" s="490"/>
      <c r="L87" s="490"/>
      <c r="M87" s="490"/>
      <c r="N87" s="528">
        <v>190</v>
      </c>
      <c r="O87" s="529">
        <v>296.24799999999999</v>
      </c>
      <c r="P87" s="530">
        <v>488167.59447352547</v>
      </c>
      <c r="Q87" s="528">
        <v>92</v>
      </c>
      <c r="R87" s="529">
        <v>136.804</v>
      </c>
      <c r="S87" s="530">
        <v>225430.31377209697</v>
      </c>
      <c r="T87" s="531">
        <v>42</v>
      </c>
      <c r="U87" s="529">
        <v>74.087999999999994</v>
      </c>
      <c r="V87" s="530">
        <v>122084.74230831787</v>
      </c>
      <c r="W87" s="491"/>
      <c r="X87" s="532">
        <v>0</v>
      </c>
      <c r="Y87" s="530">
        <v>0</v>
      </c>
      <c r="Z87" s="529">
        <v>324</v>
      </c>
      <c r="AA87" s="532">
        <v>507.14</v>
      </c>
      <c r="AB87" s="530">
        <v>835682</v>
      </c>
      <c r="AC87" s="490"/>
      <c r="AD87" s="490"/>
      <c r="AE87" s="490"/>
      <c r="AF87" s="490"/>
      <c r="AG87" s="490"/>
      <c r="AH87" s="490"/>
      <c r="AI87" s="533"/>
      <c r="AJ87" s="530">
        <v>0</v>
      </c>
      <c r="AK87" s="530">
        <v>0</v>
      </c>
      <c r="AL87" s="530">
        <v>6576.23</v>
      </c>
      <c r="AM87" s="534"/>
      <c r="AN87" s="530">
        <v>0</v>
      </c>
      <c r="AO87" s="535">
        <v>125.9</v>
      </c>
      <c r="AP87" s="530">
        <v>4844.0098296648084</v>
      </c>
      <c r="AQ87" s="536">
        <v>2</v>
      </c>
      <c r="AR87" s="530">
        <v>22680.611130037629</v>
      </c>
      <c r="AS87" s="490"/>
      <c r="AT87" s="536">
        <v>10</v>
      </c>
      <c r="AU87" s="536">
        <v>0</v>
      </c>
      <c r="AV87" s="537">
        <v>4.166666666666667</v>
      </c>
      <c r="AW87" s="538">
        <v>2502.698959183982</v>
      </c>
      <c r="AX87" s="539"/>
      <c r="AY87" s="535">
        <v>0</v>
      </c>
      <c r="AZ87" s="540"/>
      <c r="BA87" s="499"/>
      <c r="BB87" s="528">
        <v>8</v>
      </c>
      <c r="BC87" s="528">
        <v>6093.8476755687434</v>
      </c>
      <c r="BD87" s="528">
        <v>19</v>
      </c>
      <c r="BE87" s="538">
        <v>6208.8949405619987</v>
      </c>
      <c r="BF87" s="535">
        <v>310</v>
      </c>
      <c r="BG87" s="535">
        <v>41</v>
      </c>
      <c r="BH87" s="535">
        <v>333</v>
      </c>
      <c r="BI87" s="535">
        <v>43</v>
      </c>
      <c r="BJ87" s="536">
        <v>324</v>
      </c>
      <c r="BK87" s="536">
        <v>42</v>
      </c>
      <c r="BL87" s="541">
        <v>322.33</v>
      </c>
      <c r="BM87" s="541">
        <v>42</v>
      </c>
      <c r="BN87" s="542">
        <v>13.03</v>
      </c>
      <c r="BO87" s="529">
        <v>42.22</v>
      </c>
      <c r="BP87" s="528">
        <v>62262.484754200981</v>
      </c>
      <c r="BQ87" s="536">
        <v>72</v>
      </c>
      <c r="BR87" s="530">
        <v>14469.94</v>
      </c>
      <c r="BS87" s="536">
        <v>34</v>
      </c>
      <c r="BT87" s="530">
        <v>6870.8988451428049</v>
      </c>
      <c r="BU87" s="530">
        <v>389</v>
      </c>
      <c r="BV87" s="530">
        <v>88451.376767235095</v>
      </c>
      <c r="BW87" s="536">
        <v>9</v>
      </c>
      <c r="BX87" s="530">
        <v>7705.0568227735575</v>
      </c>
      <c r="BY87" s="500"/>
      <c r="BZ87" s="282"/>
      <c r="CA87" s="282"/>
      <c r="CB87" s="490"/>
      <c r="CC87" s="490"/>
      <c r="CD87" s="490"/>
      <c r="CE87" s="282"/>
      <c r="CF87" s="490"/>
      <c r="CG87" s="543">
        <v>324</v>
      </c>
      <c r="CH87" s="532" t="e">
        <v>#DIV/0!</v>
      </c>
      <c r="CI87" s="532" t="e">
        <v>#DIV/0!</v>
      </c>
      <c r="CJ87" s="544"/>
      <c r="CK87" s="490"/>
      <c r="CL87" s="545">
        <v>2421.9999276437179</v>
      </c>
      <c r="CM87" s="546">
        <v>1</v>
      </c>
      <c r="CN87" s="532">
        <v>2421.9999276437179</v>
      </c>
      <c r="CO87" s="530">
        <v>3466.71</v>
      </c>
      <c r="CP87" s="490"/>
      <c r="CQ87" s="490"/>
      <c r="CR87" s="490"/>
      <c r="CS87" s="490"/>
      <c r="CT87" s="490"/>
      <c r="CU87" s="490"/>
      <c r="CV87" s="490"/>
      <c r="CW87" s="490"/>
      <c r="CX87" s="490"/>
      <c r="CY87" s="547"/>
      <c r="CZ87" s="530">
        <v>0</v>
      </c>
      <c r="DA87" s="506">
        <v>7557</v>
      </c>
      <c r="DB87" s="548"/>
      <c r="DC87" s="537">
        <v>0</v>
      </c>
      <c r="DD87" s="530">
        <v>0</v>
      </c>
      <c r="DE87" s="490"/>
      <c r="DF87" s="529">
        <v>1</v>
      </c>
      <c r="DG87" s="549">
        <v>70073.495851086889</v>
      </c>
      <c r="DH87" s="550"/>
      <c r="DI87" s="530">
        <v>0</v>
      </c>
      <c r="DJ87" s="551"/>
      <c r="DK87" s="552"/>
      <c r="DL87" s="282"/>
      <c r="DM87" s="490"/>
      <c r="DN87" s="509"/>
      <c r="DO87" s="553">
        <v>1</v>
      </c>
      <c r="DP87" s="530">
        <v>1118.9704987504028</v>
      </c>
      <c r="DQ87" s="282"/>
      <c r="DR87" s="510"/>
      <c r="DS87" s="282"/>
      <c r="DT87" s="541">
        <v>0</v>
      </c>
      <c r="DU87" s="541">
        <v>0</v>
      </c>
      <c r="DV87" s="490"/>
      <c r="DW87" s="490"/>
      <c r="DX87" s="511">
        <v>89084.285600000003</v>
      </c>
      <c r="DY87" s="512">
        <v>0</v>
      </c>
      <c r="DZ87" s="513">
        <v>1235648.5116742067</v>
      </c>
      <c r="EA87" s="513">
        <v>0</v>
      </c>
      <c r="EB87" s="514">
        <v>4505</v>
      </c>
      <c r="EC87" s="514">
        <v>0</v>
      </c>
      <c r="ED87" s="514">
        <v>12564.387999999999</v>
      </c>
      <c r="EE87" s="494"/>
      <c r="EF87" s="513">
        <v>1252717.8996742067</v>
      </c>
      <c r="EG87" s="513">
        <v>1245160.8996742067</v>
      </c>
      <c r="EH87" s="515">
        <v>324</v>
      </c>
      <c r="EI87" s="516">
        <v>13589.827272916968</v>
      </c>
      <c r="EJ87" s="517"/>
      <c r="EL87" s="518"/>
      <c r="EM87" s="518">
        <v>1252717.8996742067</v>
      </c>
      <c r="EN87" s="518">
        <v>-89084.285600000003</v>
      </c>
      <c r="EO87" s="518">
        <v>-12564.387999999999</v>
      </c>
      <c r="EP87" s="518">
        <v>0</v>
      </c>
      <c r="EQ87" s="518">
        <v>-2502.698959183982</v>
      </c>
      <c r="ER87" s="518">
        <v>0</v>
      </c>
      <c r="ES87" s="518">
        <v>-4505</v>
      </c>
      <c r="ET87" s="518">
        <v>0</v>
      </c>
      <c r="EU87" s="518">
        <v>0</v>
      </c>
      <c r="EV87" s="518">
        <v>0</v>
      </c>
      <c r="EW87" s="518">
        <v>0</v>
      </c>
      <c r="EX87" s="518">
        <v>-22680.611130037629</v>
      </c>
      <c r="EY87" s="518">
        <v>0</v>
      </c>
      <c r="EZ87" s="518">
        <v>1121380.9159849852</v>
      </c>
      <c r="FB87" s="518">
        <v>101648.67360000001</v>
      </c>
      <c r="FC87" s="518">
        <v>-2502.698959183982</v>
      </c>
      <c r="FF87" s="518">
        <v>1015783.6765185288</v>
      </c>
      <c r="FI87" s="488">
        <v>3408.4526321732073</v>
      </c>
      <c r="FK87" s="488">
        <v>329</v>
      </c>
      <c r="FL87" s="488">
        <v>0</v>
      </c>
      <c r="FM87" s="488">
        <v>329</v>
      </c>
    </row>
    <row r="88" spans="1:169" s="488" customFormat="1" x14ac:dyDescent="0.2">
      <c r="A88" s="489" t="s">
        <v>323</v>
      </c>
      <c r="B88" s="489" t="s">
        <v>876</v>
      </c>
      <c r="C88" s="489">
        <v>3534</v>
      </c>
      <c r="D88" s="488" t="s">
        <v>169</v>
      </c>
      <c r="E88" s="490"/>
      <c r="F88" s="490"/>
      <c r="G88" s="490"/>
      <c r="H88" s="490"/>
      <c r="I88" s="490"/>
      <c r="J88" s="490"/>
      <c r="K88" s="490"/>
      <c r="L88" s="490"/>
      <c r="M88" s="490"/>
      <c r="N88" s="528">
        <v>236</v>
      </c>
      <c r="O88" s="529">
        <v>367.97119999999995</v>
      </c>
      <c r="P88" s="530">
        <v>606355.53839869471</v>
      </c>
      <c r="Q88" s="528">
        <v>0</v>
      </c>
      <c r="R88" s="529">
        <v>0</v>
      </c>
      <c r="S88" s="530">
        <v>0</v>
      </c>
      <c r="T88" s="531">
        <v>0</v>
      </c>
      <c r="U88" s="529">
        <v>0</v>
      </c>
      <c r="V88" s="530">
        <v>0</v>
      </c>
      <c r="W88" s="491"/>
      <c r="X88" s="532">
        <v>0</v>
      </c>
      <c r="Y88" s="530">
        <v>0</v>
      </c>
      <c r="Z88" s="529">
        <v>236</v>
      </c>
      <c r="AA88" s="532">
        <v>367.97119999999995</v>
      </c>
      <c r="AB88" s="530">
        <v>606355</v>
      </c>
      <c r="AC88" s="490"/>
      <c r="AD88" s="490"/>
      <c r="AE88" s="490"/>
      <c r="AF88" s="490"/>
      <c r="AG88" s="490"/>
      <c r="AH88" s="490"/>
      <c r="AI88" s="533"/>
      <c r="AJ88" s="530">
        <v>0</v>
      </c>
      <c r="AK88" s="530">
        <v>0</v>
      </c>
      <c r="AL88" s="530">
        <v>4790.09</v>
      </c>
      <c r="AM88" s="534"/>
      <c r="AN88" s="530">
        <v>0</v>
      </c>
      <c r="AO88" s="535">
        <v>101.4</v>
      </c>
      <c r="AP88" s="530">
        <v>3901.3709033201872</v>
      </c>
      <c r="AQ88" s="536">
        <v>0</v>
      </c>
      <c r="AR88" s="530">
        <v>0</v>
      </c>
      <c r="AS88" s="490"/>
      <c r="AT88" s="536">
        <v>17.5</v>
      </c>
      <c r="AU88" s="536">
        <v>17.5</v>
      </c>
      <c r="AV88" s="537">
        <v>17.5</v>
      </c>
      <c r="AW88" s="538">
        <v>10511.335628572724</v>
      </c>
      <c r="AX88" s="539"/>
      <c r="AY88" s="535">
        <v>0</v>
      </c>
      <c r="AZ88" s="540"/>
      <c r="BA88" s="499"/>
      <c r="BB88" s="528">
        <v>6</v>
      </c>
      <c r="BC88" s="528">
        <v>4570.3857566765573</v>
      </c>
      <c r="BD88" s="528">
        <v>10</v>
      </c>
      <c r="BE88" s="538">
        <v>3267.8394424010521</v>
      </c>
      <c r="BF88" s="535">
        <v>242</v>
      </c>
      <c r="BG88" s="535">
        <v>16</v>
      </c>
      <c r="BH88" s="535">
        <v>243</v>
      </c>
      <c r="BI88" s="535">
        <v>13</v>
      </c>
      <c r="BJ88" s="536">
        <v>236</v>
      </c>
      <c r="BK88" s="536">
        <v>20</v>
      </c>
      <c r="BL88" s="541">
        <v>240.33</v>
      </c>
      <c r="BM88" s="541">
        <v>16.329999999999998</v>
      </c>
      <c r="BN88" s="542">
        <v>6.79</v>
      </c>
      <c r="BO88" s="529">
        <v>16.02</v>
      </c>
      <c r="BP88" s="528">
        <v>23624.94092283988</v>
      </c>
      <c r="BQ88" s="536">
        <v>53</v>
      </c>
      <c r="BR88" s="530">
        <v>10651.49</v>
      </c>
      <c r="BS88" s="536">
        <v>65</v>
      </c>
      <c r="BT88" s="530">
        <v>13135.541909831834</v>
      </c>
      <c r="BU88" s="530">
        <v>95</v>
      </c>
      <c r="BV88" s="530">
        <v>21601.235971432736</v>
      </c>
      <c r="BW88" s="536">
        <v>6</v>
      </c>
      <c r="BX88" s="530">
        <v>5136.704548515705</v>
      </c>
      <c r="BY88" s="500"/>
      <c r="BZ88" s="282"/>
      <c r="CA88" s="282"/>
      <c r="CB88" s="490"/>
      <c r="CC88" s="490"/>
      <c r="CD88" s="490"/>
      <c r="CE88" s="282"/>
      <c r="CF88" s="490"/>
      <c r="CG88" s="543">
        <v>236</v>
      </c>
      <c r="CH88" s="532" t="e">
        <v>#DIV/0!</v>
      </c>
      <c r="CI88" s="532" t="e">
        <v>#DIV/0!</v>
      </c>
      <c r="CJ88" s="544"/>
      <c r="CK88" s="490"/>
      <c r="CL88" s="545">
        <v>1197</v>
      </c>
      <c r="CM88" s="546">
        <v>2</v>
      </c>
      <c r="CN88" s="532">
        <v>2394</v>
      </c>
      <c r="CO88" s="530">
        <v>3426.63</v>
      </c>
      <c r="CP88" s="490"/>
      <c r="CQ88" s="490"/>
      <c r="CR88" s="490"/>
      <c r="CS88" s="490"/>
      <c r="CT88" s="490"/>
      <c r="CU88" s="490"/>
      <c r="CV88" s="490"/>
      <c r="CW88" s="490"/>
      <c r="CX88" s="490"/>
      <c r="CY88" s="547"/>
      <c r="CZ88" s="530">
        <v>0</v>
      </c>
      <c r="DA88" s="506">
        <v>2541.9</v>
      </c>
      <c r="DB88" s="548"/>
      <c r="DC88" s="537">
        <v>0</v>
      </c>
      <c r="DD88" s="530">
        <v>0</v>
      </c>
      <c r="DE88" s="490"/>
      <c r="DF88" s="529">
        <v>1</v>
      </c>
      <c r="DG88" s="549">
        <v>70073.495851086889</v>
      </c>
      <c r="DH88" s="550"/>
      <c r="DI88" s="530">
        <v>0</v>
      </c>
      <c r="DJ88" s="551"/>
      <c r="DK88" s="552"/>
      <c r="DL88" s="282"/>
      <c r="DM88" s="490"/>
      <c r="DN88" s="509"/>
      <c r="DO88" s="553">
        <v>1</v>
      </c>
      <c r="DP88" s="530">
        <v>815.05258550955273</v>
      </c>
      <c r="DQ88" s="282"/>
      <c r="DR88" s="510"/>
      <c r="DS88" s="282"/>
      <c r="DT88" s="541">
        <v>0</v>
      </c>
      <c r="DU88" s="541">
        <v>0</v>
      </c>
      <c r="DV88" s="490"/>
      <c r="DW88" s="490"/>
      <c r="DX88" s="511"/>
      <c r="DY88" s="512">
        <v>0</v>
      </c>
      <c r="DZ88" s="513">
        <v>784403.01352018723</v>
      </c>
      <c r="EA88" s="513">
        <v>0</v>
      </c>
      <c r="EB88" s="514">
        <v>5005</v>
      </c>
      <c r="EC88" s="514">
        <v>0</v>
      </c>
      <c r="ED88" s="514">
        <v>0</v>
      </c>
      <c r="EE88" s="494"/>
      <c r="EF88" s="513">
        <v>789408.01352018723</v>
      </c>
      <c r="EG88" s="513">
        <v>786866.11352018721</v>
      </c>
      <c r="EH88" s="515">
        <v>236</v>
      </c>
      <c r="EI88" s="516">
        <v>9898.763075334582</v>
      </c>
      <c r="EJ88" s="517"/>
      <c r="EL88" s="518"/>
      <c r="EM88" s="518">
        <v>789408.01352018723</v>
      </c>
      <c r="EN88" s="518">
        <v>0</v>
      </c>
      <c r="EO88" s="518">
        <v>0</v>
      </c>
      <c r="EP88" s="518">
        <v>0</v>
      </c>
      <c r="EQ88" s="518">
        <v>-10511.335628572724</v>
      </c>
      <c r="ER88" s="518">
        <v>0</v>
      </c>
      <c r="ES88" s="518">
        <v>-5005</v>
      </c>
      <c r="ET88" s="518">
        <v>0</v>
      </c>
      <c r="EU88" s="518">
        <v>0</v>
      </c>
      <c r="EV88" s="518">
        <v>0</v>
      </c>
      <c r="EW88" s="518">
        <v>0</v>
      </c>
      <c r="EX88" s="518">
        <v>0</v>
      </c>
      <c r="EY88" s="518">
        <v>0</v>
      </c>
      <c r="EZ88" s="518">
        <v>773891.6778916145</v>
      </c>
      <c r="FB88" s="518">
        <v>0</v>
      </c>
      <c r="FC88" s="518">
        <v>-10511.335628572724</v>
      </c>
      <c r="FF88" s="518">
        <v>672754.80978497455</v>
      </c>
      <c r="FI88" s="488">
        <v>3321.4235102644398</v>
      </c>
      <c r="FK88" s="488">
        <v>233</v>
      </c>
      <c r="FL88" s="488">
        <v>0</v>
      </c>
      <c r="FM88" s="488">
        <v>233</v>
      </c>
    </row>
    <row r="89" spans="1:169" s="488" customFormat="1" x14ac:dyDescent="0.2">
      <c r="A89" s="489" t="s">
        <v>324</v>
      </c>
      <c r="B89" s="489" t="s">
        <v>877</v>
      </c>
      <c r="C89" s="489">
        <v>3532</v>
      </c>
      <c r="D89" s="488" t="s">
        <v>169</v>
      </c>
      <c r="E89" s="490"/>
      <c r="F89" s="490"/>
      <c r="G89" s="490"/>
      <c r="H89" s="490"/>
      <c r="I89" s="490"/>
      <c r="J89" s="490"/>
      <c r="K89" s="490"/>
      <c r="L89" s="490"/>
      <c r="M89" s="490"/>
      <c r="N89" s="528">
        <v>171</v>
      </c>
      <c r="O89" s="529">
        <v>266.6232</v>
      </c>
      <c r="P89" s="530">
        <v>439350.83502617298</v>
      </c>
      <c r="Q89" s="528">
        <v>89</v>
      </c>
      <c r="R89" s="529">
        <v>132.34300000000002</v>
      </c>
      <c r="S89" s="530">
        <v>218079.32527952862</v>
      </c>
      <c r="T89" s="531">
        <v>45</v>
      </c>
      <c r="U89" s="529">
        <v>79.38</v>
      </c>
      <c r="V89" s="530">
        <v>130805.08104462631</v>
      </c>
      <c r="W89" s="491"/>
      <c r="X89" s="532">
        <v>0</v>
      </c>
      <c r="Y89" s="530">
        <v>0</v>
      </c>
      <c r="Z89" s="529">
        <v>305</v>
      </c>
      <c r="AA89" s="532">
        <v>478.34620000000001</v>
      </c>
      <c r="AB89" s="530">
        <v>788236</v>
      </c>
      <c r="AC89" s="490"/>
      <c r="AD89" s="490"/>
      <c r="AE89" s="490"/>
      <c r="AF89" s="490"/>
      <c r="AG89" s="490"/>
      <c r="AH89" s="490"/>
      <c r="AI89" s="533"/>
      <c r="AJ89" s="530">
        <v>0</v>
      </c>
      <c r="AK89" s="530">
        <v>0</v>
      </c>
      <c r="AL89" s="530">
        <v>6190.58</v>
      </c>
      <c r="AM89" s="534"/>
      <c r="AN89" s="530">
        <v>0</v>
      </c>
      <c r="AO89" s="535">
        <v>143.6</v>
      </c>
      <c r="AP89" s="530">
        <v>5525.0183601260242</v>
      </c>
      <c r="AQ89" s="536">
        <v>2</v>
      </c>
      <c r="AR89" s="530">
        <v>22680.611130037629</v>
      </c>
      <c r="AS89" s="490"/>
      <c r="AT89" s="536">
        <v>22.5</v>
      </c>
      <c r="AU89" s="536">
        <v>17.5</v>
      </c>
      <c r="AV89" s="537">
        <v>19.583333333333332</v>
      </c>
      <c r="AW89" s="538">
        <v>11762.685108164713</v>
      </c>
      <c r="AX89" s="539"/>
      <c r="AY89" s="535">
        <v>0</v>
      </c>
      <c r="AZ89" s="540"/>
      <c r="BA89" s="499"/>
      <c r="BB89" s="528">
        <v>2</v>
      </c>
      <c r="BC89" s="528">
        <v>1523.4619188921858</v>
      </c>
      <c r="BD89" s="528">
        <v>10</v>
      </c>
      <c r="BE89" s="538">
        <v>3267.8394424010521</v>
      </c>
      <c r="BF89" s="535">
        <v>283</v>
      </c>
      <c r="BG89" s="535">
        <v>15</v>
      </c>
      <c r="BH89" s="535">
        <v>291</v>
      </c>
      <c r="BI89" s="535">
        <v>20</v>
      </c>
      <c r="BJ89" s="536">
        <v>305</v>
      </c>
      <c r="BK89" s="536">
        <v>17</v>
      </c>
      <c r="BL89" s="541">
        <v>293</v>
      </c>
      <c r="BM89" s="541">
        <v>17.329999999999998</v>
      </c>
      <c r="BN89" s="542">
        <v>5.91</v>
      </c>
      <c r="BO89" s="529">
        <v>18.03</v>
      </c>
      <c r="BP89" s="528">
        <v>26589.118903795446</v>
      </c>
      <c r="BQ89" s="536">
        <v>0</v>
      </c>
      <c r="BR89" s="530">
        <v>0</v>
      </c>
      <c r="BS89" s="536">
        <v>5</v>
      </c>
      <c r="BT89" s="530">
        <v>1010.4263007562949</v>
      </c>
      <c r="BU89" s="530">
        <v>56</v>
      </c>
      <c r="BV89" s="530">
        <v>12733.360151581403</v>
      </c>
      <c r="BW89" s="536">
        <v>2</v>
      </c>
      <c r="BX89" s="530">
        <v>1712.2348495052349</v>
      </c>
      <c r="BY89" s="500"/>
      <c r="BZ89" s="282"/>
      <c r="CA89" s="282"/>
      <c r="CB89" s="490"/>
      <c r="CC89" s="490"/>
      <c r="CD89" s="490"/>
      <c r="CE89" s="282"/>
      <c r="CF89" s="490"/>
      <c r="CG89" s="543">
        <v>305</v>
      </c>
      <c r="CH89" s="532" t="e">
        <v>#DIV/0!</v>
      </c>
      <c r="CI89" s="532" t="e">
        <v>#DIV/0!</v>
      </c>
      <c r="CJ89" s="544"/>
      <c r="CK89" s="490"/>
      <c r="CL89" s="545">
        <v>1453.51</v>
      </c>
      <c r="CM89" s="546">
        <v>2</v>
      </c>
      <c r="CN89" s="532">
        <v>2907.02</v>
      </c>
      <c r="CO89" s="530">
        <v>4160.9399999999996</v>
      </c>
      <c r="CP89" s="490"/>
      <c r="CQ89" s="490"/>
      <c r="CR89" s="490"/>
      <c r="CS89" s="490"/>
      <c r="CT89" s="490"/>
      <c r="CU89" s="490"/>
      <c r="CV89" s="490"/>
      <c r="CW89" s="490"/>
      <c r="CX89" s="490"/>
      <c r="CY89" s="547"/>
      <c r="CZ89" s="530">
        <v>0</v>
      </c>
      <c r="DA89" s="506">
        <v>3915.9</v>
      </c>
      <c r="DB89" s="548"/>
      <c r="DC89" s="537">
        <v>0</v>
      </c>
      <c r="DD89" s="530">
        <v>0</v>
      </c>
      <c r="DE89" s="490"/>
      <c r="DF89" s="529">
        <v>1</v>
      </c>
      <c r="DG89" s="549">
        <v>70073.495851086889</v>
      </c>
      <c r="DH89" s="550"/>
      <c r="DI89" s="530">
        <v>0</v>
      </c>
      <c r="DJ89" s="551"/>
      <c r="DK89" s="552"/>
      <c r="DL89" s="282"/>
      <c r="DM89" s="490"/>
      <c r="DN89" s="509"/>
      <c r="DO89" s="553">
        <v>1</v>
      </c>
      <c r="DP89" s="530">
        <v>1053.3518583915829</v>
      </c>
      <c r="DQ89" s="282"/>
      <c r="DR89" s="510"/>
      <c r="DS89" s="282"/>
      <c r="DT89" s="541">
        <v>0</v>
      </c>
      <c r="DU89" s="541">
        <v>0</v>
      </c>
      <c r="DV89" s="490"/>
      <c r="DW89" s="490"/>
      <c r="DX89" s="511"/>
      <c r="DY89" s="512">
        <v>5352.8414999999995</v>
      </c>
      <c r="DZ89" s="513">
        <v>965787.86537473835</v>
      </c>
      <c r="EA89" s="513">
        <v>15226.878276318195</v>
      </c>
      <c r="EB89" s="514">
        <v>13640</v>
      </c>
      <c r="EC89" s="514">
        <v>0</v>
      </c>
      <c r="ED89" s="514">
        <v>0</v>
      </c>
      <c r="EE89" s="494"/>
      <c r="EF89" s="513">
        <v>994654.74365105655</v>
      </c>
      <c r="EG89" s="513">
        <v>990738.84365105652</v>
      </c>
      <c r="EH89" s="515">
        <v>305</v>
      </c>
      <c r="EI89" s="516">
        <v>12792.892957529863</v>
      </c>
      <c r="EJ89" s="517"/>
      <c r="EL89" s="518"/>
      <c r="EM89" s="518">
        <v>994654.74365105655</v>
      </c>
      <c r="EN89" s="518">
        <v>0</v>
      </c>
      <c r="EO89" s="518">
        <v>0</v>
      </c>
      <c r="EP89" s="518">
        <v>0</v>
      </c>
      <c r="EQ89" s="518">
        <v>-11762.685108164713</v>
      </c>
      <c r="ER89" s="518">
        <v>0</v>
      </c>
      <c r="ES89" s="518">
        <v>-13640</v>
      </c>
      <c r="ET89" s="518">
        <v>0</v>
      </c>
      <c r="EU89" s="518">
        <v>0</v>
      </c>
      <c r="EV89" s="518">
        <v>0</v>
      </c>
      <c r="EW89" s="518">
        <v>0</v>
      </c>
      <c r="EX89" s="518">
        <v>-22680.611130037629</v>
      </c>
      <c r="EY89" s="518">
        <v>0</v>
      </c>
      <c r="EZ89" s="518">
        <v>946571.44741285429</v>
      </c>
      <c r="FB89" s="518">
        <v>0</v>
      </c>
      <c r="FC89" s="518">
        <v>-11762.685108164711</v>
      </c>
      <c r="FF89" s="518">
        <v>831847.52768216585</v>
      </c>
      <c r="FI89" s="488">
        <v>3103.5129423372273</v>
      </c>
      <c r="FK89" s="488">
        <v>305</v>
      </c>
      <c r="FL89" s="488">
        <v>0</v>
      </c>
      <c r="FM89" s="488">
        <v>305</v>
      </c>
    </row>
    <row r="90" spans="1:169" s="488" customFormat="1" x14ac:dyDescent="0.2">
      <c r="A90" s="557" t="s">
        <v>69</v>
      </c>
      <c r="B90" s="557" t="s">
        <v>878</v>
      </c>
      <c r="C90" s="557">
        <v>3546</v>
      </c>
      <c r="D90" s="488" t="s">
        <v>169</v>
      </c>
      <c r="E90" s="490"/>
      <c r="F90" s="490"/>
      <c r="G90" s="490"/>
      <c r="H90" s="490"/>
      <c r="I90" s="490"/>
      <c r="J90" s="490"/>
      <c r="K90" s="490"/>
      <c r="L90" s="490"/>
      <c r="M90" s="490"/>
      <c r="N90" s="528">
        <v>275</v>
      </c>
      <c r="O90" s="529">
        <v>428.78</v>
      </c>
      <c r="P90" s="530">
        <v>706558.36042220797</v>
      </c>
      <c r="Q90" s="528">
        <v>150</v>
      </c>
      <c r="R90" s="529">
        <v>223.05</v>
      </c>
      <c r="S90" s="530">
        <v>367549.42462841899</v>
      </c>
      <c r="T90" s="531">
        <v>75</v>
      </c>
      <c r="U90" s="529">
        <v>132.30000000000001</v>
      </c>
      <c r="V90" s="530">
        <v>218008.46840771055</v>
      </c>
      <c r="W90" s="491"/>
      <c r="X90" s="532">
        <v>0</v>
      </c>
      <c r="Y90" s="530">
        <v>0</v>
      </c>
      <c r="Z90" s="529">
        <v>500</v>
      </c>
      <c r="AA90" s="532">
        <v>784.13</v>
      </c>
      <c r="AB90" s="530">
        <v>1292117</v>
      </c>
      <c r="AC90" s="490"/>
      <c r="AD90" s="490"/>
      <c r="AE90" s="490"/>
      <c r="AF90" s="490"/>
      <c r="AG90" s="490"/>
      <c r="AH90" s="490"/>
      <c r="AI90" s="533"/>
      <c r="AJ90" s="530">
        <v>0</v>
      </c>
      <c r="AK90" s="530">
        <v>0</v>
      </c>
      <c r="AL90" s="530">
        <v>10148.5</v>
      </c>
      <c r="AM90" s="534"/>
      <c r="AN90" s="530">
        <v>0</v>
      </c>
      <c r="AO90" s="535">
        <v>126.9</v>
      </c>
      <c r="AP90" s="530">
        <v>4882.4848878829562</v>
      </c>
      <c r="AQ90" s="536">
        <v>3</v>
      </c>
      <c r="AR90" s="530">
        <v>34020.916695056439</v>
      </c>
      <c r="AS90" s="490"/>
      <c r="AT90" s="536">
        <v>65</v>
      </c>
      <c r="AU90" s="536">
        <v>52.5</v>
      </c>
      <c r="AV90" s="537">
        <v>57.708333333333336</v>
      </c>
      <c r="AW90" s="538">
        <v>34662.380584698149</v>
      </c>
      <c r="AX90" s="539"/>
      <c r="AY90" s="535">
        <v>0</v>
      </c>
      <c r="AZ90" s="540"/>
      <c r="BA90" s="499"/>
      <c r="BB90" s="528">
        <v>7</v>
      </c>
      <c r="BC90" s="528">
        <v>5332.1167161226504</v>
      </c>
      <c r="BD90" s="528">
        <v>22</v>
      </c>
      <c r="BE90" s="538">
        <v>7189.2467732823143</v>
      </c>
      <c r="BF90" s="535">
        <v>496</v>
      </c>
      <c r="BG90" s="535">
        <v>194.5</v>
      </c>
      <c r="BH90" s="535">
        <v>499</v>
      </c>
      <c r="BI90" s="535">
        <v>204</v>
      </c>
      <c r="BJ90" s="536">
        <v>500</v>
      </c>
      <c r="BK90" s="536">
        <v>196</v>
      </c>
      <c r="BL90" s="541">
        <v>498.33</v>
      </c>
      <c r="BM90" s="541">
        <v>198.17</v>
      </c>
      <c r="BN90" s="542">
        <v>39.770000000000003</v>
      </c>
      <c r="BO90" s="529">
        <v>198.85</v>
      </c>
      <c r="BP90" s="528">
        <v>293247.15995672345</v>
      </c>
      <c r="BQ90" s="536">
        <v>185</v>
      </c>
      <c r="BR90" s="530">
        <v>37179.71</v>
      </c>
      <c r="BS90" s="536">
        <v>185</v>
      </c>
      <c r="BT90" s="530">
        <v>37385.77312798291</v>
      </c>
      <c r="BU90" s="530">
        <v>1263</v>
      </c>
      <c r="BV90" s="530">
        <v>287182.74770441628</v>
      </c>
      <c r="BW90" s="536">
        <v>11</v>
      </c>
      <c r="BX90" s="530">
        <v>9417.2916722787922</v>
      </c>
      <c r="BY90" s="500"/>
      <c r="BZ90" s="282"/>
      <c r="CA90" s="282"/>
      <c r="CB90" s="490"/>
      <c r="CC90" s="490"/>
      <c r="CD90" s="490"/>
      <c r="CE90" s="282"/>
      <c r="CF90" s="490"/>
      <c r="CG90" s="543">
        <v>500</v>
      </c>
      <c r="CH90" s="532" t="e">
        <v>#DIV/0!</v>
      </c>
      <c r="CI90" s="532" t="e">
        <v>#DIV/0!</v>
      </c>
      <c r="CJ90" s="544"/>
      <c r="CK90" s="490"/>
      <c r="CL90" s="545">
        <v>3018.4711046086322</v>
      </c>
      <c r="CM90" s="546">
        <v>1</v>
      </c>
      <c r="CN90" s="532">
        <v>3018.4711046086322</v>
      </c>
      <c r="CO90" s="530">
        <v>4320.46</v>
      </c>
      <c r="CP90" s="490"/>
      <c r="CQ90" s="490"/>
      <c r="CR90" s="490"/>
      <c r="CS90" s="490"/>
      <c r="CT90" s="490"/>
      <c r="CU90" s="490"/>
      <c r="CV90" s="490"/>
      <c r="CW90" s="490"/>
      <c r="CX90" s="490"/>
      <c r="CY90" s="547"/>
      <c r="CZ90" s="530">
        <v>0</v>
      </c>
      <c r="DA90" s="506">
        <v>76028</v>
      </c>
      <c r="DB90" s="548"/>
      <c r="DC90" s="537">
        <v>0</v>
      </c>
      <c r="DD90" s="530">
        <v>0</v>
      </c>
      <c r="DE90" s="490"/>
      <c r="DF90" s="529">
        <v>1</v>
      </c>
      <c r="DG90" s="549">
        <v>70073.495851086889</v>
      </c>
      <c r="DH90" s="550"/>
      <c r="DI90" s="530">
        <v>0</v>
      </c>
      <c r="DJ90" s="551"/>
      <c r="DK90" s="552"/>
      <c r="DL90" s="282"/>
      <c r="DM90" s="490"/>
      <c r="DN90" s="509"/>
      <c r="DO90" s="553">
        <v>0</v>
      </c>
      <c r="DP90" s="530">
        <v>0</v>
      </c>
      <c r="DQ90" s="282"/>
      <c r="DR90" s="510"/>
      <c r="DS90" s="282"/>
      <c r="DT90" s="541">
        <v>0</v>
      </c>
      <c r="DU90" s="541">
        <v>0</v>
      </c>
      <c r="DV90" s="490"/>
      <c r="DW90" s="490"/>
      <c r="DX90" s="511">
        <v>183645.8334</v>
      </c>
      <c r="DY90" s="512">
        <v>0</v>
      </c>
      <c r="DZ90" s="513">
        <v>2386833.1173695312</v>
      </c>
      <c r="EA90" s="513">
        <v>87191.508033495862</v>
      </c>
      <c r="EB90" s="514">
        <v>4129</v>
      </c>
      <c r="EC90" s="514">
        <v>0</v>
      </c>
      <c r="ED90" s="514">
        <v>-13637.573399999994</v>
      </c>
      <c r="EE90" s="494"/>
      <c r="EF90" s="513">
        <v>2464516.0520030269</v>
      </c>
      <c r="EG90" s="513">
        <v>2388488.0520030269</v>
      </c>
      <c r="EH90" s="515">
        <v>500</v>
      </c>
      <c r="EI90" s="516">
        <v>20971.95566808174</v>
      </c>
      <c r="EJ90" s="517"/>
      <c r="EL90" s="518"/>
      <c r="EM90" s="518">
        <v>2464516.0520030269</v>
      </c>
      <c r="EN90" s="518">
        <v>-183645.8334</v>
      </c>
      <c r="EO90" s="518">
        <v>13637.573399999994</v>
      </c>
      <c r="EP90" s="518">
        <v>-7462.6235844323528</v>
      </c>
      <c r="EQ90" s="518">
        <v>-34662.380584698149</v>
      </c>
      <c r="ER90" s="518">
        <v>0</v>
      </c>
      <c r="ES90" s="518">
        <v>-4129</v>
      </c>
      <c r="ET90" s="518">
        <v>0</v>
      </c>
      <c r="EU90" s="518">
        <v>0</v>
      </c>
      <c r="EV90" s="518">
        <v>0</v>
      </c>
      <c r="EW90" s="518">
        <v>0</v>
      </c>
      <c r="EX90" s="518">
        <v>-34020.916695056439</v>
      </c>
      <c r="EY90" s="518">
        <v>0</v>
      </c>
      <c r="EZ90" s="518">
        <v>2214232.87113884</v>
      </c>
      <c r="FB90" s="518">
        <v>177470.88358443236</v>
      </c>
      <c r="FC90" s="518">
        <v>-34662.380584698149</v>
      </c>
      <c r="FF90" s="518">
        <v>1924476.0260495413</v>
      </c>
      <c r="FI90" s="488">
        <v>4509.6392487552748</v>
      </c>
      <c r="FK90" s="488">
        <v>491</v>
      </c>
      <c r="FL90" s="488">
        <v>0</v>
      </c>
      <c r="FM90" s="488">
        <v>491</v>
      </c>
    </row>
    <row r="91" spans="1:169" s="488" customFormat="1" x14ac:dyDescent="0.2">
      <c r="A91" s="489" t="s">
        <v>325</v>
      </c>
      <c r="B91" s="489" t="s">
        <v>879</v>
      </c>
      <c r="C91" s="489">
        <v>3530</v>
      </c>
      <c r="D91" s="488" t="s">
        <v>169</v>
      </c>
      <c r="E91" s="490"/>
      <c r="F91" s="490"/>
      <c r="G91" s="490"/>
      <c r="H91" s="490"/>
      <c r="I91" s="490"/>
      <c r="J91" s="490"/>
      <c r="K91" s="490"/>
      <c r="L91" s="490"/>
      <c r="M91" s="490"/>
      <c r="N91" s="528">
        <v>166</v>
      </c>
      <c r="O91" s="529">
        <v>258.8272</v>
      </c>
      <c r="P91" s="530">
        <v>426504.31938213285</v>
      </c>
      <c r="Q91" s="528">
        <v>82</v>
      </c>
      <c r="R91" s="529">
        <v>121.93400000000001</v>
      </c>
      <c r="S91" s="530">
        <v>200927.01879686906</v>
      </c>
      <c r="T91" s="531">
        <v>44</v>
      </c>
      <c r="U91" s="529">
        <v>77.616</v>
      </c>
      <c r="V91" s="530">
        <v>127898.30146585684</v>
      </c>
      <c r="W91" s="491"/>
      <c r="X91" s="532">
        <v>0</v>
      </c>
      <c r="Y91" s="530">
        <v>0</v>
      </c>
      <c r="Z91" s="529">
        <v>292</v>
      </c>
      <c r="AA91" s="532">
        <v>458.37720000000002</v>
      </c>
      <c r="AB91" s="530">
        <v>755329</v>
      </c>
      <c r="AC91" s="490"/>
      <c r="AD91" s="490"/>
      <c r="AE91" s="490"/>
      <c r="AF91" s="490"/>
      <c r="AG91" s="490"/>
      <c r="AH91" s="490"/>
      <c r="AI91" s="533"/>
      <c r="AJ91" s="530">
        <v>0</v>
      </c>
      <c r="AK91" s="530">
        <v>0</v>
      </c>
      <c r="AL91" s="530">
        <v>5926.72</v>
      </c>
      <c r="AM91" s="534"/>
      <c r="AN91" s="530">
        <v>0</v>
      </c>
      <c r="AO91" s="535">
        <v>128.1</v>
      </c>
      <c r="AP91" s="530">
        <v>4928.6549577447331</v>
      </c>
      <c r="AQ91" s="536">
        <v>2</v>
      </c>
      <c r="AR91" s="530">
        <v>22680.611130037629</v>
      </c>
      <c r="AS91" s="490"/>
      <c r="AT91" s="536">
        <v>10</v>
      </c>
      <c r="AU91" s="536">
        <v>0</v>
      </c>
      <c r="AV91" s="537">
        <v>4.166666666666667</v>
      </c>
      <c r="AW91" s="538">
        <v>2502.698959183982</v>
      </c>
      <c r="AX91" s="539"/>
      <c r="AY91" s="535">
        <v>0</v>
      </c>
      <c r="AZ91" s="540"/>
      <c r="BA91" s="499"/>
      <c r="BB91" s="528">
        <v>0</v>
      </c>
      <c r="BC91" s="528">
        <v>0</v>
      </c>
      <c r="BD91" s="528">
        <v>15</v>
      </c>
      <c r="BE91" s="538">
        <v>4901.7591636015777</v>
      </c>
      <c r="BF91" s="535">
        <v>291</v>
      </c>
      <c r="BG91" s="535">
        <v>7</v>
      </c>
      <c r="BH91" s="535">
        <v>289</v>
      </c>
      <c r="BI91" s="535">
        <v>5</v>
      </c>
      <c r="BJ91" s="536">
        <v>292</v>
      </c>
      <c r="BK91" s="536">
        <v>9</v>
      </c>
      <c r="BL91" s="541">
        <v>290.67</v>
      </c>
      <c r="BM91" s="541">
        <v>7</v>
      </c>
      <c r="BN91" s="542">
        <v>2.41</v>
      </c>
      <c r="BO91" s="529">
        <v>7.04</v>
      </c>
      <c r="BP91" s="528">
        <v>10381.996510411533</v>
      </c>
      <c r="BQ91" s="536">
        <v>2</v>
      </c>
      <c r="BR91" s="530">
        <v>401.94</v>
      </c>
      <c r="BS91" s="536">
        <v>2</v>
      </c>
      <c r="BT91" s="530">
        <v>404.17052030251796</v>
      </c>
      <c r="BU91" s="530">
        <v>23</v>
      </c>
      <c r="BV91" s="530">
        <v>5229.7729193995046</v>
      </c>
      <c r="BW91" s="536">
        <v>2</v>
      </c>
      <c r="BX91" s="530">
        <v>1712.2348495052349</v>
      </c>
      <c r="BY91" s="500"/>
      <c r="BZ91" s="282"/>
      <c r="CA91" s="282"/>
      <c r="CB91" s="490"/>
      <c r="CC91" s="490"/>
      <c r="CD91" s="490"/>
      <c r="CE91" s="282"/>
      <c r="CF91" s="490"/>
      <c r="CG91" s="543">
        <v>292</v>
      </c>
      <c r="CH91" s="532" t="e">
        <v>#DIV/0!</v>
      </c>
      <c r="CI91" s="532" t="e">
        <v>#DIV/0!</v>
      </c>
      <c r="CJ91" s="544"/>
      <c r="CK91" s="490"/>
      <c r="CL91" s="545">
        <v>1409.9829037348763</v>
      </c>
      <c r="CM91" s="546">
        <v>2</v>
      </c>
      <c r="CN91" s="532">
        <v>2819.9658074697527</v>
      </c>
      <c r="CO91" s="530">
        <v>4036.34</v>
      </c>
      <c r="CP91" s="490"/>
      <c r="CQ91" s="490"/>
      <c r="CR91" s="490"/>
      <c r="CS91" s="490"/>
      <c r="CT91" s="490"/>
      <c r="CU91" s="490"/>
      <c r="CV91" s="490"/>
      <c r="CW91" s="490"/>
      <c r="CX91" s="490"/>
      <c r="CY91" s="547"/>
      <c r="CZ91" s="530">
        <v>0</v>
      </c>
      <c r="DA91" s="506">
        <v>2496.1</v>
      </c>
      <c r="DB91" s="548"/>
      <c r="DC91" s="537">
        <v>0</v>
      </c>
      <c r="DD91" s="530">
        <v>0</v>
      </c>
      <c r="DE91" s="490"/>
      <c r="DF91" s="529">
        <v>1</v>
      </c>
      <c r="DG91" s="549">
        <v>70073.495851086889</v>
      </c>
      <c r="DH91" s="550"/>
      <c r="DI91" s="530">
        <v>0</v>
      </c>
      <c r="DJ91" s="551"/>
      <c r="DK91" s="552"/>
      <c r="DL91" s="282"/>
      <c r="DM91" s="490"/>
      <c r="DN91" s="509"/>
      <c r="DO91" s="553">
        <v>1</v>
      </c>
      <c r="DP91" s="530">
        <v>1008.4548939355483</v>
      </c>
      <c r="DQ91" s="282"/>
      <c r="DR91" s="510"/>
      <c r="DS91" s="282"/>
      <c r="DT91" s="541">
        <v>0</v>
      </c>
      <c r="DU91" s="541">
        <v>0</v>
      </c>
      <c r="DV91" s="490"/>
      <c r="DW91" s="490"/>
      <c r="DX91" s="511">
        <v>96501.115600000005</v>
      </c>
      <c r="DY91" s="512">
        <v>0</v>
      </c>
      <c r="DZ91" s="513">
        <v>988515.06535520905</v>
      </c>
      <c r="EA91" s="513">
        <v>0</v>
      </c>
      <c r="EB91" s="514">
        <v>0</v>
      </c>
      <c r="EC91" s="514">
        <v>0</v>
      </c>
      <c r="ED91" s="514">
        <v>-6110.1040000000066</v>
      </c>
      <c r="EE91" s="494"/>
      <c r="EF91" s="513">
        <v>982404.961355209</v>
      </c>
      <c r="EG91" s="513">
        <v>979908.86135520902</v>
      </c>
      <c r="EH91" s="515">
        <v>292</v>
      </c>
      <c r="EI91" s="516">
        <v>12247.622110159737</v>
      </c>
      <c r="EJ91" s="517"/>
      <c r="EL91" s="518"/>
      <c r="EM91" s="518">
        <v>982404.961355209</v>
      </c>
      <c r="EN91" s="518">
        <v>-96501.115600000005</v>
      </c>
      <c r="EO91" s="518">
        <v>6110.1040000000066</v>
      </c>
      <c r="EP91" s="518">
        <v>0</v>
      </c>
      <c r="EQ91" s="518">
        <v>-2502.698959183982</v>
      </c>
      <c r="ER91" s="518">
        <v>0</v>
      </c>
      <c r="ES91" s="518">
        <v>0</v>
      </c>
      <c r="ET91" s="518">
        <v>0</v>
      </c>
      <c r="EU91" s="518">
        <v>0</v>
      </c>
      <c r="EV91" s="518">
        <v>0</v>
      </c>
      <c r="EW91" s="518">
        <v>0</v>
      </c>
      <c r="EX91" s="518">
        <v>-22680.611130037629</v>
      </c>
      <c r="EY91" s="518">
        <v>0</v>
      </c>
      <c r="EZ91" s="518">
        <v>866830.63966598746</v>
      </c>
      <c r="FB91" s="518">
        <v>90391.011599999998</v>
      </c>
      <c r="FC91" s="518">
        <v>-2502.698959183982</v>
      </c>
      <c r="FF91" s="518">
        <v>774063.39917325182</v>
      </c>
      <c r="FI91" s="488">
        <v>2958.4663469828924</v>
      </c>
      <c r="FK91" s="488">
        <v>293</v>
      </c>
      <c r="FL91" s="488">
        <v>0</v>
      </c>
      <c r="FM91" s="488">
        <v>293</v>
      </c>
    </row>
    <row r="92" spans="1:169" s="488" customFormat="1" x14ac:dyDescent="0.2">
      <c r="A92" s="489" t="s">
        <v>70</v>
      </c>
      <c r="B92" s="489" t="s">
        <v>880</v>
      </c>
      <c r="C92" s="489">
        <v>2459</v>
      </c>
      <c r="D92" s="488" t="s">
        <v>169</v>
      </c>
      <c r="E92" s="490"/>
      <c r="F92" s="490"/>
      <c r="G92" s="490"/>
      <c r="H92" s="490"/>
      <c r="I92" s="490"/>
      <c r="J92" s="490"/>
      <c r="K92" s="490"/>
      <c r="L92" s="490"/>
      <c r="M92" s="490"/>
      <c r="N92" s="528">
        <v>221</v>
      </c>
      <c r="O92" s="529">
        <v>344.58319999999998</v>
      </c>
      <c r="P92" s="530">
        <v>567815.99146657437</v>
      </c>
      <c r="Q92" s="528">
        <v>108</v>
      </c>
      <c r="R92" s="529">
        <v>160.596</v>
      </c>
      <c r="S92" s="530">
        <v>264635.58573246165</v>
      </c>
      <c r="T92" s="531">
        <v>55</v>
      </c>
      <c r="U92" s="529">
        <v>97.02</v>
      </c>
      <c r="V92" s="530">
        <v>159872.87683232105</v>
      </c>
      <c r="W92" s="491"/>
      <c r="X92" s="532">
        <v>0</v>
      </c>
      <c r="Y92" s="530">
        <v>0</v>
      </c>
      <c r="Z92" s="529">
        <v>384</v>
      </c>
      <c r="AA92" s="532">
        <v>602.19920000000002</v>
      </c>
      <c r="AB92" s="530">
        <v>992324</v>
      </c>
      <c r="AC92" s="490"/>
      <c r="AD92" s="490"/>
      <c r="AE92" s="490"/>
      <c r="AF92" s="490"/>
      <c r="AG92" s="490"/>
      <c r="AH92" s="490"/>
      <c r="AI92" s="533"/>
      <c r="AJ92" s="530">
        <v>0</v>
      </c>
      <c r="AK92" s="530">
        <v>0</v>
      </c>
      <c r="AL92" s="530">
        <v>7794.05</v>
      </c>
      <c r="AM92" s="534"/>
      <c r="AN92" s="530">
        <v>0</v>
      </c>
      <c r="AO92" s="535">
        <v>147.19999999999999</v>
      </c>
      <c r="AP92" s="530">
        <v>5663.5285697113559</v>
      </c>
      <c r="AQ92" s="536">
        <v>2</v>
      </c>
      <c r="AR92" s="530">
        <v>22680.611130037629</v>
      </c>
      <c r="AS92" s="490"/>
      <c r="AT92" s="536">
        <v>32.5</v>
      </c>
      <c r="AU92" s="536">
        <v>22.5</v>
      </c>
      <c r="AV92" s="537">
        <v>26.666666666666668</v>
      </c>
      <c r="AW92" s="538">
        <v>16017.273338777484</v>
      </c>
      <c r="AX92" s="539"/>
      <c r="AY92" s="535">
        <v>0</v>
      </c>
      <c r="AZ92" s="540"/>
      <c r="BA92" s="499"/>
      <c r="BB92" s="528">
        <v>4</v>
      </c>
      <c r="BC92" s="528">
        <v>3046.9238377843717</v>
      </c>
      <c r="BD92" s="528">
        <v>8</v>
      </c>
      <c r="BE92" s="538">
        <v>2614.2715539208416</v>
      </c>
      <c r="BF92" s="535">
        <v>387</v>
      </c>
      <c r="BG92" s="535">
        <v>24</v>
      </c>
      <c r="BH92" s="535">
        <v>388</v>
      </c>
      <c r="BI92" s="535">
        <v>28</v>
      </c>
      <c r="BJ92" s="536">
        <v>384</v>
      </c>
      <c r="BK92" s="536">
        <v>26</v>
      </c>
      <c r="BL92" s="541">
        <v>386.33</v>
      </c>
      <c r="BM92" s="541">
        <v>26</v>
      </c>
      <c r="BN92" s="542">
        <v>6.73</v>
      </c>
      <c r="BO92" s="529">
        <v>25.84</v>
      </c>
      <c r="BP92" s="528">
        <v>38106.646282533242</v>
      </c>
      <c r="BQ92" s="536">
        <v>20</v>
      </c>
      <c r="BR92" s="530">
        <v>4019.43</v>
      </c>
      <c r="BS92" s="536">
        <v>62</v>
      </c>
      <c r="BT92" s="530">
        <v>12529.286129378057</v>
      </c>
      <c r="BU92" s="530">
        <v>32</v>
      </c>
      <c r="BV92" s="530">
        <v>7276.2058009036582</v>
      </c>
      <c r="BW92" s="536">
        <v>2</v>
      </c>
      <c r="BX92" s="530">
        <v>1712.2348495052349</v>
      </c>
      <c r="BY92" s="500"/>
      <c r="BZ92" s="282"/>
      <c r="CA92" s="282"/>
      <c r="CB92" s="490"/>
      <c r="CC92" s="490"/>
      <c r="CD92" s="490"/>
      <c r="CE92" s="282"/>
      <c r="CF92" s="490"/>
      <c r="CG92" s="543">
        <v>384</v>
      </c>
      <c r="CH92" s="532" t="e">
        <v>#DIV/0!</v>
      </c>
      <c r="CI92" s="532" t="e">
        <v>#DIV/0!</v>
      </c>
      <c r="CJ92" s="544"/>
      <c r="CK92" s="490"/>
      <c r="CL92" s="545">
        <v>1593</v>
      </c>
      <c r="CM92" s="546">
        <v>2</v>
      </c>
      <c r="CN92" s="532">
        <v>3186</v>
      </c>
      <c r="CO92" s="530">
        <v>4560.26</v>
      </c>
      <c r="CP92" s="490"/>
      <c r="CQ92" s="490"/>
      <c r="CR92" s="490"/>
      <c r="CS92" s="490"/>
      <c r="CT92" s="490"/>
      <c r="CU92" s="490"/>
      <c r="CV92" s="490"/>
      <c r="CW92" s="490"/>
      <c r="CX92" s="490"/>
      <c r="CY92" s="547"/>
      <c r="CZ92" s="530">
        <v>0</v>
      </c>
      <c r="DA92" s="506">
        <v>14427</v>
      </c>
      <c r="DB92" s="548"/>
      <c r="DC92" s="537">
        <v>0</v>
      </c>
      <c r="DD92" s="530">
        <v>0</v>
      </c>
      <c r="DE92" s="490"/>
      <c r="DF92" s="529">
        <v>1</v>
      </c>
      <c r="DG92" s="549">
        <v>70073.495851086889</v>
      </c>
      <c r="DH92" s="550"/>
      <c r="DI92" s="530">
        <v>0</v>
      </c>
      <c r="DJ92" s="551"/>
      <c r="DK92" s="552"/>
      <c r="DL92" s="282"/>
      <c r="DM92" s="490"/>
      <c r="DN92" s="509"/>
      <c r="DO92" s="553">
        <v>0</v>
      </c>
      <c r="DP92" s="530">
        <v>0</v>
      </c>
      <c r="DQ92" s="282"/>
      <c r="DR92" s="510"/>
      <c r="DS92" s="282"/>
      <c r="DT92" s="541">
        <v>0</v>
      </c>
      <c r="DU92" s="541">
        <v>0</v>
      </c>
      <c r="DV92" s="490"/>
      <c r="DW92" s="490"/>
      <c r="DX92" s="511"/>
      <c r="DY92" s="512">
        <v>0</v>
      </c>
      <c r="DZ92" s="513">
        <v>1202845.2173436387</v>
      </c>
      <c r="EA92" s="513">
        <v>0</v>
      </c>
      <c r="EB92" s="514">
        <v>12139</v>
      </c>
      <c r="EC92" s="514">
        <v>0</v>
      </c>
      <c r="ED92" s="514">
        <v>0</v>
      </c>
      <c r="EE92" s="494"/>
      <c r="EF92" s="513">
        <v>1214984.2173436387</v>
      </c>
      <c r="EG92" s="513">
        <v>1200557.2173436387</v>
      </c>
      <c r="EH92" s="515">
        <v>384</v>
      </c>
      <c r="EI92" s="516">
        <v>16106.461953086777</v>
      </c>
      <c r="EJ92" s="517"/>
      <c r="EL92" s="518"/>
      <c r="EM92" s="518">
        <v>1214984.2173436387</v>
      </c>
      <c r="EN92" s="518">
        <v>0</v>
      </c>
      <c r="EO92" s="518">
        <v>0</v>
      </c>
      <c r="EP92" s="518">
        <v>0</v>
      </c>
      <c r="EQ92" s="518">
        <v>-16017.273338777484</v>
      </c>
      <c r="ER92" s="518">
        <v>0</v>
      </c>
      <c r="ES92" s="518">
        <v>-12139</v>
      </c>
      <c r="ET92" s="518">
        <v>0</v>
      </c>
      <c r="EU92" s="518">
        <v>0</v>
      </c>
      <c r="EV92" s="518">
        <v>0</v>
      </c>
      <c r="EW92" s="518">
        <v>0</v>
      </c>
      <c r="EX92" s="518">
        <v>-22680.611130037629</v>
      </c>
      <c r="EY92" s="518">
        <v>0</v>
      </c>
      <c r="EZ92" s="518">
        <v>1164147.3328748236</v>
      </c>
      <c r="FB92" s="518">
        <v>0</v>
      </c>
      <c r="FC92" s="518">
        <v>-16017.273338777486</v>
      </c>
      <c r="FF92" s="518">
        <v>1046485.4407707265</v>
      </c>
      <c r="FI92" s="488">
        <v>3023.7593061683729</v>
      </c>
      <c r="FK92" s="488">
        <v>385</v>
      </c>
      <c r="FL92" s="488">
        <v>0</v>
      </c>
      <c r="FM92" s="488">
        <v>385</v>
      </c>
    </row>
    <row r="93" spans="1:169" s="490" customFormat="1" x14ac:dyDescent="0.2">
      <c r="AB93" s="492"/>
      <c r="AI93" s="494"/>
      <c r="AJ93" s="492"/>
      <c r="AM93" s="285"/>
      <c r="AO93" s="285"/>
      <c r="AT93" s="282"/>
      <c r="AU93" s="282"/>
      <c r="AV93" s="495"/>
      <c r="AX93" s="517"/>
      <c r="AY93" s="517"/>
      <c r="BB93" s="526"/>
      <c r="BC93" s="526"/>
      <c r="BD93" s="282"/>
      <c r="BF93" s="282"/>
      <c r="BG93" s="282"/>
      <c r="BH93" s="282"/>
      <c r="BI93" s="282"/>
      <c r="BJ93" s="282"/>
      <c r="BK93" s="282"/>
      <c r="BM93" s="501"/>
      <c r="BQ93" s="282"/>
      <c r="BS93" s="282"/>
      <c r="BW93" s="282"/>
      <c r="BZ93" s="282"/>
      <c r="CA93" s="282"/>
      <c r="CE93" s="282"/>
      <c r="CG93" s="503"/>
      <c r="CY93" s="282"/>
      <c r="DA93" s="285"/>
      <c r="DB93" s="494"/>
      <c r="DJ93" s="282"/>
      <c r="DK93" s="282"/>
      <c r="DL93" s="282"/>
      <c r="DN93" s="526"/>
      <c r="DQ93" s="282"/>
      <c r="DR93" s="283"/>
      <c r="DS93" s="282"/>
      <c r="DY93" s="562"/>
      <c r="DZ93" s="526"/>
      <c r="EA93" s="526"/>
      <c r="EB93" s="285"/>
      <c r="EC93" s="285"/>
      <c r="ED93" s="283"/>
      <c r="EE93" s="494"/>
      <c r="EF93" s="526"/>
      <c r="EG93" s="526"/>
      <c r="EH93" s="527"/>
      <c r="EI93" s="494"/>
      <c r="EL93" s="526"/>
      <c r="EM93" s="518"/>
      <c r="EN93" s="518"/>
      <c r="EO93" s="518"/>
      <c r="EP93" s="518"/>
      <c r="EQ93" s="518"/>
      <c r="ER93" s="518"/>
      <c r="ES93" s="518"/>
      <c r="ET93" s="518"/>
      <c r="EU93" s="518"/>
      <c r="EV93" s="518"/>
      <c r="EW93" s="518"/>
      <c r="EX93" s="518"/>
      <c r="EY93" s="518"/>
      <c r="EZ93" s="518"/>
      <c r="FB93" s="518"/>
      <c r="FC93" s="518"/>
      <c r="FF93" s="518"/>
      <c r="FI93" s="488"/>
      <c r="FK93" s="488"/>
      <c r="FM93" s="488">
        <v>0</v>
      </c>
    </row>
    <row r="94" spans="1:169" s="488" customFormat="1" x14ac:dyDescent="0.2">
      <c r="A94" s="563" t="s">
        <v>326</v>
      </c>
      <c r="B94" s="489" t="s">
        <v>881</v>
      </c>
      <c r="C94" s="489">
        <v>4177</v>
      </c>
      <c r="D94" s="488" t="s">
        <v>221</v>
      </c>
      <c r="E94" s="528">
        <v>39</v>
      </c>
      <c r="F94" s="529">
        <v>0</v>
      </c>
      <c r="G94" s="564">
        <v>0</v>
      </c>
      <c r="H94" s="528">
        <v>280</v>
      </c>
      <c r="I94" s="529">
        <v>641.34</v>
      </c>
      <c r="J94" s="528">
        <v>1061103.6515225018</v>
      </c>
      <c r="K94" s="528">
        <v>366</v>
      </c>
      <c r="L94" s="529">
        <v>735.84299999999996</v>
      </c>
      <c r="M94" s="528">
        <v>1217459.8407198556</v>
      </c>
      <c r="N94" s="500"/>
      <c r="O94" s="500"/>
      <c r="P94" s="500"/>
      <c r="Q94" s="500"/>
      <c r="R94" s="500"/>
      <c r="S94" s="500"/>
      <c r="T94" s="500"/>
      <c r="U94" s="500"/>
      <c r="V94" s="500"/>
      <c r="W94" s="491"/>
      <c r="X94" s="493"/>
      <c r="Y94" s="492"/>
      <c r="Z94" s="529">
        <v>685</v>
      </c>
      <c r="AA94" s="529">
        <v>1377.183</v>
      </c>
      <c r="AB94" s="530">
        <v>2278564</v>
      </c>
      <c r="AC94" s="492"/>
      <c r="AD94" s="492"/>
      <c r="AE94" s="492"/>
      <c r="AF94" s="492"/>
      <c r="AG94" s="492"/>
      <c r="AH94" s="492"/>
      <c r="AI94" s="554">
        <v>424905.67541130533</v>
      </c>
      <c r="AJ94" s="530">
        <v>0</v>
      </c>
      <c r="AK94" s="565">
        <v>0</v>
      </c>
      <c r="AL94" s="565">
        <v>21181.58</v>
      </c>
      <c r="AM94" s="534"/>
      <c r="AN94" s="565">
        <v>0</v>
      </c>
      <c r="AO94" s="535">
        <v>143.43333333333334</v>
      </c>
      <c r="AP94" s="530">
        <v>5518.6058504229995</v>
      </c>
      <c r="AQ94" s="566"/>
      <c r="AR94" s="490"/>
      <c r="AS94" s="490"/>
      <c r="AT94" s="536">
        <v>10</v>
      </c>
      <c r="AU94" s="536">
        <v>10</v>
      </c>
      <c r="AV94" s="542">
        <v>10</v>
      </c>
      <c r="AW94" s="565">
        <v>5826.492414329543</v>
      </c>
      <c r="AX94" s="497"/>
      <c r="AY94" s="285">
        <v>0</v>
      </c>
      <c r="AZ94" s="567"/>
      <c r="BA94" s="499"/>
      <c r="BB94" s="528">
        <v>52</v>
      </c>
      <c r="BC94" s="528">
        <v>39610.009891196831</v>
      </c>
      <c r="BD94" s="528">
        <v>46</v>
      </c>
      <c r="BE94" s="565">
        <v>59942.742105360165</v>
      </c>
      <c r="BF94" s="535">
        <v>757</v>
      </c>
      <c r="BG94" s="535">
        <v>239</v>
      </c>
      <c r="BH94" s="535">
        <v>735</v>
      </c>
      <c r="BI94" s="535">
        <v>237</v>
      </c>
      <c r="BJ94" s="536">
        <v>685</v>
      </c>
      <c r="BK94" s="536">
        <v>235</v>
      </c>
      <c r="BL94" s="541">
        <v>725.67</v>
      </c>
      <c r="BM94" s="541">
        <v>237</v>
      </c>
      <c r="BN94" s="542">
        <v>32.659999999999997</v>
      </c>
      <c r="BO94" s="529">
        <v>223.72</v>
      </c>
      <c r="BP94" s="528">
        <v>286412.05177958042</v>
      </c>
      <c r="BQ94" s="536">
        <v>366</v>
      </c>
      <c r="BR94" s="565">
        <v>75391.598163671675</v>
      </c>
      <c r="BS94" s="536">
        <v>347</v>
      </c>
      <c r="BT94" s="530">
        <v>70322.427287076411</v>
      </c>
      <c r="BU94" s="530">
        <v>1742</v>
      </c>
      <c r="BV94" s="530">
        <v>296845.39787625318</v>
      </c>
      <c r="BW94" s="536">
        <v>30</v>
      </c>
      <c r="BX94" s="565">
        <v>49724.604200774949</v>
      </c>
      <c r="BY94" s="490"/>
      <c r="BZ94" s="515">
        <v>19.035426849944379</v>
      </c>
      <c r="CA94" s="515">
        <v>21.658586409540941</v>
      </c>
      <c r="CB94" s="565">
        <v>427.11530773282988</v>
      </c>
      <c r="CC94" s="565">
        <v>373399.59026152932</v>
      </c>
      <c r="CD94" s="490"/>
      <c r="CE94" s="560">
        <v>26253.466008428906</v>
      </c>
      <c r="CF94" s="490"/>
      <c r="CG94" s="543">
        <v>685</v>
      </c>
      <c r="CH94" s="532" t="e">
        <v>#DIV/0!</v>
      </c>
      <c r="CI94" s="532" t="e">
        <v>#DIV/0!</v>
      </c>
      <c r="CJ94" s="544"/>
      <c r="CK94" s="490"/>
      <c r="CL94" s="545">
        <v>10052.58</v>
      </c>
      <c r="CM94" s="546">
        <v>3</v>
      </c>
      <c r="CN94" s="532">
        <v>30157.74</v>
      </c>
      <c r="CO94" s="565">
        <v>41653.876957218185</v>
      </c>
      <c r="CP94" s="490"/>
      <c r="CQ94" s="490"/>
      <c r="CR94" s="490"/>
      <c r="CS94" s="504"/>
      <c r="CT94" s="504"/>
      <c r="CU94" s="504"/>
      <c r="CV94" s="504"/>
      <c r="CW94" s="565">
        <v>0</v>
      </c>
      <c r="CX94" s="565">
        <v>0</v>
      </c>
      <c r="CY94" s="547"/>
      <c r="CZ94" s="565">
        <v>0</v>
      </c>
      <c r="DA94" s="506">
        <v>18320</v>
      </c>
      <c r="DB94" s="548"/>
      <c r="DC94" s="537">
        <v>0</v>
      </c>
      <c r="DD94" s="530">
        <v>0</v>
      </c>
      <c r="DE94" s="490"/>
      <c r="DF94" s="537">
        <v>1</v>
      </c>
      <c r="DG94" s="565">
        <v>349775.30324456643</v>
      </c>
      <c r="DH94" s="568"/>
      <c r="DI94" s="569">
        <v>0</v>
      </c>
      <c r="DJ94" s="551"/>
      <c r="DK94" s="552"/>
      <c r="DL94" s="282"/>
      <c r="DM94" s="490"/>
      <c r="DN94" s="509"/>
      <c r="DO94" s="570">
        <v>1</v>
      </c>
      <c r="DP94" s="565">
        <v>3583.8963217186579</v>
      </c>
      <c r="DQ94" s="282"/>
      <c r="DR94" s="510"/>
      <c r="DS94" s="571">
        <v>8077</v>
      </c>
      <c r="DT94" s="541">
        <v>65</v>
      </c>
      <c r="DU94" s="541">
        <v>25014.107810889549</v>
      </c>
      <c r="DV94" s="560">
        <v>209251.66666666666</v>
      </c>
      <c r="DW94" s="506">
        <v>-67124.723093170018</v>
      </c>
      <c r="DX94" s="511"/>
      <c r="DY94" s="512">
        <v>24017.752675</v>
      </c>
      <c r="DZ94" s="513">
        <v>4626467.1218328197</v>
      </c>
      <c r="EA94" s="513">
        <v>0</v>
      </c>
      <c r="EB94" s="514">
        <v>0</v>
      </c>
      <c r="EC94" s="514">
        <v>13121</v>
      </c>
      <c r="ED94" s="514">
        <v>0</v>
      </c>
      <c r="EE94" s="494"/>
      <c r="EF94" s="513">
        <v>4639588.1218328197</v>
      </c>
      <c r="EG94" s="513">
        <v>4621268.1218328197</v>
      </c>
      <c r="EH94" s="515">
        <v>685</v>
      </c>
      <c r="EI94" s="516">
        <v>41355.451405244799</v>
      </c>
      <c r="EJ94" s="513">
        <v>4669574.0922509898</v>
      </c>
      <c r="EL94" s="518"/>
      <c r="EM94" s="518">
        <v>4639588.1218328197</v>
      </c>
      <c r="EN94" s="518">
        <v>0</v>
      </c>
      <c r="EO94" s="518">
        <v>0</v>
      </c>
      <c r="EP94" s="518">
        <v>0</v>
      </c>
      <c r="EQ94" s="518">
        <v>-5826.492414329543</v>
      </c>
      <c r="ER94" s="518">
        <v>0</v>
      </c>
      <c r="ES94" s="518">
        <v>0</v>
      </c>
      <c r="ET94" s="518">
        <v>-424905.67541130533</v>
      </c>
      <c r="EU94" s="518">
        <v>-13121</v>
      </c>
      <c r="EV94" s="518">
        <v>-209251.66666666666</v>
      </c>
      <c r="EW94" s="518">
        <v>-8077</v>
      </c>
      <c r="EX94" s="518">
        <v>0</v>
      </c>
      <c r="EY94" s="518">
        <v>-138531.32221622433</v>
      </c>
      <c r="EZ94" s="518">
        <v>3839874.9651242942</v>
      </c>
      <c r="FB94" s="518">
        <v>0</v>
      </c>
      <c r="FC94" s="518">
        <v>-430732.16782563488</v>
      </c>
      <c r="FF94" s="518">
        <v>3454798.722314043</v>
      </c>
      <c r="FI94" s="488">
        <v>6410.4757347650984</v>
      </c>
      <c r="FK94" s="488">
        <v>638</v>
      </c>
      <c r="FL94" s="488">
        <v>39</v>
      </c>
      <c r="FM94" s="488">
        <v>599</v>
      </c>
    </row>
    <row r="95" spans="1:169" s="573" customFormat="1" x14ac:dyDescent="0.2">
      <c r="A95" s="572" t="s">
        <v>334</v>
      </c>
      <c r="B95" s="572" t="s">
        <v>882</v>
      </c>
      <c r="C95" s="572">
        <v>5402</v>
      </c>
      <c r="D95" s="573" t="s">
        <v>221</v>
      </c>
      <c r="E95" s="574">
        <v>397</v>
      </c>
      <c r="F95" s="575">
        <v>0</v>
      </c>
      <c r="G95" s="576">
        <v>0</v>
      </c>
      <c r="H95" s="574">
        <v>530</v>
      </c>
      <c r="I95" s="575">
        <v>1213.9649999999999</v>
      </c>
      <c r="J95" s="574">
        <v>2008517.6260961643</v>
      </c>
      <c r="K95" s="574">
        <v>819</v>
      </c>
      <c r="L95" s="575">
        <v>1646.5995</v>
      </c>
      <c r="M95" s="574">
        <v>2724315.8730862346</v>
      </c>
      <c r="N95" s="577"/>
      <c r="O95" s="577"/>
      <c r="P95" s="577"/>
      <c r="Q95" s="577"/>
      <c r="R95" s="577"/>
      <c r="S95" s="577"/>
      <c r="T95" s="577"/>
      <c r="U95" s="577"/>
      <c r="V95" s="577"/>
      <c r="W95" s="578"/>
      <c r="X95" s="579"/>
      <c r="Y95" s="580"/>
      <c r="Z95" s="575">
        <v>1746</v>
      </c>
      <c r="AA95" s="575">
        <v>2860.5645000000004</v>
      </c>
      <c r="AB95" s="581">
        <v>4732833</v>
      </c>
      <c r="AC95" s="580"/>
      <c r="AD95" s="580"/>
      <c r="AE95" s="580"/>
      <c r="AF95" s="580"/>
      <c r="AG95" s="580"/>
      <c r="AH95" s="580"/>
      <c r="AI95" s="582"/>
      <c r="AJ95" s="581">
        <v>1746</v>
      </c>
      <c r="AK95" s="583">
        <v>30213.536410216275</v>
      </c>
      <c r="AL95" s="583">
        <v>53989.83</v>
      </c>
      <c r="AM95" s="584"/>
      <c r="AN95" s="583">
        <v>0</v>
      </c>
      <c r="AO95" s="535">
        <v>945.125</v>
      </c>
      <c r="AP95" s="581">
        <v>36363.739398426944</v>
      </c>
      <c r="AQ95" s="585"/>
      <c r="AR95" s="586"/>
      <c r="AS95" s="586"/>
      <c r="AT95" s="536">
        <v>44.5</v>
      </c>
      <c r="AU95" s="536">
        <v>62</v>
      </c>
      <c r="AV95" s="587">
        <v>54.708333333333329</v>
      </c>
      <c r="AW95" s="583">
        <v>31875.768916727873</v>
      </c>
      <c r="AX95" s="588"/>
      <c r="AY95" s="589">
        <v>0</v>
      </c>
      <c r="AZ95" s="590"/>
      <c r="BA95" s="591"/>
      <c r="BB95" s="528">
        <v>20</v>
      </c>
      <c r="BC95" s="528">
        <v>15234.619188921859</v>
      </c>
      <c r="BD95" s="528">
        <v>30</v>
      </c>
      <c r="BE95" s="565">
        <v>39093.0926774088</v>
      </c>
      <c r="BF95" s="535">
        <v>1707</v>
      </c>
      <c r="BG95" s="535">
        <v>102</v>
      </c>
      <c r="BH95" s="535">
        <v>1713</v>
      </c>
      <c r="BI95" s="535">
        <v>102</v>
      </c>
      <c r="BJ95" s="592">
        <v>1746</v>
      </c>
      <c r="BK95" s="536">
        <v>117</v>
      </c>
      <c r="BL95" s="593">
        <v>1722</v>
      </c>
      <c r="BM95" s="593">
        <v>107</v>
      </c>
      <c r="BN95" s="587">
        <v>6.21</v>
      </c>
      <c r="BO95" s="575">
        <v>108.43</v>
      </c>
      <c r="BP95" s="574">
        <v>138814.8523800282</v>
      </c>
      <c r="BQ95" s="536">
        <v>62</v>
      </c>
      <c r="BR95" s="565">
        <v>12771.254333736731</v>
      </c>
      <c r="BS95" s="536">
        <v>69</v>
      </c>
      <c r="BT95" s="530">
        <v>13983.422140657847</v>
      </c>
      <c r="BU95" s="530">
        <v>322</v>
      </c>
      <c r="BV95" s="530">
        <v>54870.38927448538</v>
      </c>
      <c r="BW95" s="536">
        <v>18</v>
      </c>
      <c r="BX95" s="565">
        <v>29834.762520464967</v>
      </c>
      <c r="BY95" s="586"/>
      <c r="BZ95" s="515">
        <v>6.1649200335686318</v>
      </c>
      <c r="CA95" s="515">
        <v>1.7065753706455411</v>
      </c>
      <c r="CB95" s="565">
        <v>167.23311572905061</v>
      </c>
      <c r="CC95" s="565">
        <v>146201.21489639283</v>
      </c>
      <c r="CD95" s="586"/>
      <c r="CE95" s="560">
        <v>30052.845395532706</v>
      </c>
      <c r="CF95" s="586"/>
      <c r="CG95" s="594">
        <v>1746</v>
      </c>
      <c r="CH95" s="595" t="e">
        <v>#DIV/0!</v>
      </c>
      <c r="CI95" s="595" t="e">
        <v>#DIV/0!</v>
      </c>
      <c r="CJ95" s="544"/>
      <c r="CK95" s="586"/>
      <c r="CL95" s="545">
        <v>12430</v>
      </c>
      <c r="CM95" s="596">
        <v>2</v>
      </c>
      <c r="CN95" s="595">
        <v>24860</v>
      </c>
      <c r="CO95" s="583">
        <v>34336.637332785685</v>
      </c>
      <c r="CP95" s="586"/>
      <c r="CQ95" s="586"/>
      <c r="CR95" s="586"/>
      <c r="CS95" s="597"/>
      <c r="CT95" s="597"/>
      <c r="CU95" s="597"/>
      <c r="CV95" s="597"/>
      <c r="CW95" s="583">
        <v>0</v>
      </c>
      <c r="CX95" s="583">
        <v>0</v>
      </c>
      <c r="CY95" s="598"/>
      <c r="CZ95" s="583">
        <v>0</v>
      </c>
      <c r="DA95" s="506">
        <v>35037</v>
      </c>
      <c r="DB95" s="548">
        <v>28357283</v>
      </c>
      <c r="DC95" s="594">
        <v>283.57283000000001</v>
      </c>
      <c r="DD95" s="581">
        <v>54146.82</v>
      </c>
      <c r="DE95" s="586"/>
      <c r="DF95" s="594">
        <v>1</v>
      </c>
      <c r="DG95" s="583">
        <v>349775.30324456643</v>
      </c>
      <c r="DH95" s="599"/>
      <c r="DI95" s="600">
        <v>0</v>
      </c>
      <c r="DJ95" s="601"/>
      <c r="DK95" s="602"/>
      <c r="DL95" s="586"/>
      <c r="DM95" s="586"/>
      <c r="DN95" s="603"/>
      <c r="DO95" s="604">
        <v>1</v>
      </c>
      <c r="DP95" s="583">
        <v>9135.0116463077029</v>
      </c>
      <c r="DQ95" s="586"/>
      <c r="DR95" s="510"/>
      <c r="DS95" s="571">
        <v>17808</v>
      </c>
      <c r="DT95" s="541">
        <v>0</v>
      </c>
      <c r="DU95" s="593">
        <v>0</v>
      </c>
      <c r="DV95" s="605">
        <v>0</v>
      </c>
      <c r="DW95" s="506">
        <v>-171032.94193108869</v>
      </c>
      <c r="DX95" s="606"/>
      <c r="DY95" s="512">
        <v>17308.64</v>
      </c>
      <c r="DZ95" s="583">
        <v>5712646.7978255721</v>
      </c>
      <c r="EA95" s="513">
        <v>4714.2229276383296</v>
      </c>
      <c r="EB95" s="514">
        <v>7162</v>
      </c>
      <c r="EC95" s="514">
        <v>0</v>
      </c>
      <c r="ED95" s="514">
        <v>0</v>
      </c>
      <c r="EE95" s="607"/>
      <c r="EF95" s="583">
        <v>5724523.0207532104</v>
      </c>
      <c r="EG95" s="583">
        <v>5689486.0207532104</v>
      </c>
      <c r="EH95" s="608">
        <v>1746</v>
      </c>
      <c r="EI95" s="609">
        <v>105411.12139205464</v>
      </c>
      <c r="EJ95" s="583">
        <v>5866371.0997566609</v>
      </c>
      <c r="EL95" s="610"/>
      <c r="EM95" s="518">
        <v>5724523.0207532104</v>
      </c>
      <c r="EN95" s="518">
        <v>0</v>
      </c>
      <c r="EO95" s="518">
        <v>0</v>
      </c>
      <c r="EP95" s="518">
        <v>0</v>
      </c>
      <c r="EQ95" s="518">
        <v>-31875.768916727873</v>
      </c>
      <c r="ER95" s="518">
        <v>0</v>
      </c>
      <c r="ES95" s="518">
        <v>-7162</v>
      </c>
      <c r="ET95" s="518">
        <v>0</v>
      </c>
      <c r="EU95" s="518">
        <v>0</v>
      </c>
      <c r="EV95" s="518">
        <v>0</v>
      </c>
      <c r="EW95" s="518">
        <v>-17808</v>
      </c>
      <c r="EX95" s="518">
        <v>0</v>
      </c>
      <c r="EY95" s="518">
        <v>0</v>
      </c>
      <c r="EZ95" s="518">
        <v>5667677.2518364824</v>
      </c>
      <c r="FB95" s="518">
        <v>0</v>
      </c>
      <c r="FC95" s="518">
        <v>-31875.768916727873</v>
      </c>
      <c r="FF95" s="518">
        <v>5169747.9496358698</v>
      </c>
      <c r="FI95" s="488">
        <v>4207.6297341028085</v>
      </c>
      <c r="FK95" s="488">
        <v>1347</v>
      </c>
      <c r="FL95" s="488">
        <v>0</v>
      </c>
      <c r="FM95" s="488">
        <v>1347</v>
      </c>
    </row>
    <row r="96" spans="1:169" s="488" customFormat="1" x14ac:dyDescent="0.2">
      <c r="A96" s="489" t="s">
        <v>72</v>
      </c>
      <c r="B96" s="489" t="s">
        <v>883</v>
      </c>
      <c r="C96" s="489">
        <v>4608</v>
      </c>
      <c r="D96" s="488" t="s">
        <v>221</v>
      </c>
      <c r="E96" s="528">
        <v>0</v>
      </c>
      <c r="F96" s="529">
        <v>0</v>
      </c>
      <c r="G96" s="564">
        <v>0</v>
      </c>
      <c r="H96" s="528">
        <v>232</v>
      </c>
      <c r="I96" s="529">
        <v>531.39600000000007</v>
      </c>
      <c r="J96" s="528">
        <v>879200.16840435879</v>
      </c>
      <c r="K96" s="528">
        <v>384</v>
      </c>
      <c r="L96" s="529">
        <v>772.03199999999993</v>
      </c>
      <c r="M96" s="528">
        <v>1277334.9148536189</v>
      </c>
      <c r="N96" s="500"/>
      <c r="O96" s="500"/>
      <c r="P96" s="500"/>
      <c r="Q96" s="500"/>
      <c r="R96" s="500"/>
      <c r="S96" s="500"/>
      <c r="T96" s="500"/>
      <c r="U96" s="500"/>
      <c r="V96" s="500"/>
      <c r="W96" s="491"/>
      <c r="X96" s="493"/>
      <c r="Y96" s="492"/>
      <c r="Z96" s="529">
        <v>616</v>
      </c>
      <c r="AA96" s="529">
        <v>1303.4279999999999</v>
      </c>
      <c r="AB96" s="530">
        <v>2156535</v>
      </c>
      <c r="AC96" s="492"/>
      <c r="AD96" s="492"/>
      <c r="AE96" s="492"/>
      <c r="AF96" s="492"/>
      <c r="AG96" s="492"/>
      <c r="AH96" s="492"/>
      <c r="AI96" s="533"/>
      <c r="AJ96" s="530">
        <v>0</v>
      </c>
      <c r="AK96" s="565">
        <v>0</v>
      </c>
      <c r="AL96" s="565">
        <v>19047.96</v>
      </c>
      <c r="AM96" s="534"/>
      <c r="AN96" s="565">
        <v>0</v>
      </c>
      <c r="AO96" s="535">
        <v>100.7</v>
      </c>
      <c r="AP96" s="530">
        <v>3874.4383625674836</v>
      </c>
      <c r="AQ96" s="566"/>
      <c r="AR96" s="490"/>
      <c r="AS96" s="490"/>
      <c r="AT96" s="536">
        <v>75</v>
      </c>
      <c r="AU96" s="536">
        <v>70</v>
      </c>
      <c r="AV96" s="542">
        <v>72.083333333333343</v>
      </c>
      <c r="AW96" s="565">
        <v>41999.299486625467</v>
      </c>
      <c r="AX96" s="497"/>
      <c r="AY96" s="285">
        <v>0</v>
      </c>
      <c r="AZ96" s="567"/>
      <c r="BA96" s="499"/>
      <c r="BB96" s="528">
        <v>26</v>
      </c>
      <c r="BC96" s="528">
        <v>19805.004945598415</v>
      </c>
      <c r="BD96" s="528">
        <v>36</v>
      </c>
      <c r="BE96" s="565">
        <v>46911.711212890565</v>
      </c>
      <c r="BF96" s="535">
        <v>626</v>
      </c>
      <c r="BG96" s="535">
        <v>214</v>
      </c>
      <c r="BH96" s="535">
        <v>623</v>
      </c>
      <c r="BI96" s="535">
        <v>179</v>
      </c>
      <c r="BJ96" s="536">
        <v>616</v>
      </c>
      <c r="BK96" s="536">
        <v>193</v>
      </c>
      <c r="BL96" s="541">
        <v>621.66999999999996</v>
      </c>
      <c r="BM96" s="541">
        <v>195.33</v>
      </c>
      <c r="BN96" s="542">
        <v>31.42</v>
      </c>
      <c r="BO96" s="529">
        <v>193.55</v>
      </c>
      <c r="BP96" s="528">
        <v>247787.6480508573</v>
      </c>
      <c r="BQ96" s="536">
        <v>48</v>
      </c>
      <c r="BR96" s="565">
        <v>9887.4227099897271</v>
      </c>
      <c r="BS96" s="536">
        <v>30</v>
      </c>
      <c r="BT96" s="530">
        <v>6079.7487568077595</v>
      </c>
      <c r="BU96" s="530">
        <v>1180</v>
      </c>
      <c r="BV96" s="530">
        <v>201077.82404935636</v>
      </c>
      <c r="BW96" s="536">
        <v>37</v>
      </c>
      <c r="BX96" s="565">
        <v>61327.011847622438</v>
      </c>
      <c r="BY96" s="490"/>
      <c r="BZ96" s="515">
        <v>21.146888797477033</v>
      </c>
      <c r="CA96" s="515">
        <v>8.9465680213506289</v>
      </c>
      <c r="CB96" s="565">
        <v>240.48655301549829</v>
      </c>
      <c r="CC96" s="565">
        <v>210242.00896954272</v>
      </c>
      <c r="CD96" s="490"/>
      <c r="CE96" s="560">
        <v>22940.27729439408</v>
      </c>
      <c r="CF96" s="490"/>
      <c r="CG96" s="543">
        <v>616</v>
      </c>
      <c r="CH96" s="532" t="e">
        <v>#DIV/0!</v>
      </c>
      <c r="CI96" s="532" t="e">
        <v>#DIV/0!</v>
      </c>
      <c r="CJ96" s="544"/>
      <c r="CK96" s="490"/>
      <c r="CL96" s="545">
        <v>6863</v>
      </c>
      <c r="CM96" s="546">
        <v>1</v>
      </c>
      <c r="CN96" s="532">
        <v>6863</v>
      </c>
      <c r="CO96" s="565">
        <v>9479.1770722006495</v>
      </c>
      <c r="CP96" s="490"/>
      <c r="CQ96" s="490"/>
      <c r="CR96" s="490"/>
      <c r="CS96" s="504"/>
      <c r="CT96" s="504"/>
      <c r="CU96" s="504"/>
      <c r="CV96" s="504"/>
      <c r="CW96" s="565">
        <v>0</v>
      </c>
      <c r="CX96" s="565">
        <v>0</v>
      </c>
      <c r="CY96" s="547"/>
      <c r="CZ96" s="565">
        <v>0</v>
      </c>
      <c r="DA96" s="506">
        <v>24961</v>
      </c>
      <c r="DB96" s="548"/>
      <c r="DC96" s="537">
        <v>0</v>
      </c>
      <c r="DD96" s="530">
        <v>0</v>
      </c>
      <c r="DE96" s="490"/>
      <c r="DF96" s="537">
        <v>1</v>
      </c>
      <c r="DG96" s="565">
        <v>349775.30324456643</v>
      </c>
      <c r="DH96" s="568"/>
      <c r="DI96" s="569">
        <v>0</v>
      </c>
      <c r="DJ96" s="551"/>
      <c r="DK96" s="552"/>
      <c r="DL96" s="560">
        <v>19520.89729508699</v>
      </c>
      <c r="DM96" s="492"/>
      <c r="DN96" s="561">
        <v>6431.2990378446411</v>
      </c>
      <c r="DO96" s="570">
        <v>1</v>
      </c>
      <c r="DP96" s="565">
        <v>3222.8907068302092</v>
      </c>
      <c r="DQ96" s="282"/>
      <c r="DR96" s="510"/>
      <c r="DS96" s="571">
        <v>0</v>
      </c>
      <c r="DT96" s="541">
        <v>134</v>
      </c>
      <c r="DU96" s="541">
        <v>51567.545333218455</v>
      </c>
      <c r="DV96" s="560">
        <v>0</v>
      </c>
      <c r="DW96" s="506">
        <v>0</v>
      </c>
      <c r="DX96" s="511"/>
      <c r="DY96" s="512">
        <v>0</v>
      </c>
      <c r="DZ96" s="513">
        <v>3512473.4683759995</v>
      </c>
      <c r="EA96" s="513">
        <v>171801.3276963071</v>
      </c>
      <c r="EB96" s="514">
        <v>19183</v>
      </c>
      <c r="EC96" s="514">
        <v>0</v>
      </c>
      <c r="ED96" s="514">
        <v>0</v>
      </c>
      <c r="EE96" s="494"/>
      <c r="EF96" s="513">
        <v>3703457.7960723066</v>
      </c>
      <c r="EG96" s="513">
        <v>3678496.7960723066</v>
      </c>
      <c r="EH96" s="515">
        <v>616</v>
      </c>
      <c r="EI96" s="516">
        <v>37189.719803840584</v>
      </c>
      <c r="EJ96" s="513">
        <v>3512473.4683759995</v>
      </c>
      <c r="EL96" s="518"/>
      <c r="EM96" s="518">
        <v>3703457.7960723066</v>
      </c>
      <c r="EN96" s="518">
        <v>0</v>
      </c>
      <c r="EO96" s="518">
        <v>0</v>
      </c>
      <c r="EP96" s="518">
        <v>0</v>
      </c>
      <c r="EQ96" s="518">
        <v>-41999.299486625467</v>
      </c>
      <c r="ER96" s="518">
        <v>0</v>
      </c>
      <c r="ES96" s="518">
        <v>-19183</v>
      </c>
      <c r="ET96" s="518">
        <v>0</v>
      </c>
      <c r="EU96" s="518">
        <v>0</v>
      </c>
      <c r="EV96" s="518">
        <v>0</v>
      </c>
      <c r="EW96" s="518">
        <v>0</v>
      </c>
      <c r="EX96" s="518">
        <v>0</v>
      </c>
      <c r="EY96" s="518">
        <v>0</v>
      </c>
      <c r="EZ96" s="518">
        <v>3642275.4965856811</v>
      </c>
      <c r="FB96" s="518">
        <v>0</v>
      </c>
      <c r="FC96" s="518">
        <v>-41999.299486625467</v>
      </c>
      <c r="FF96" s="518">
        <v>2984392.6339074094</v>
      </c>
      <c r="FI96" s="488">
        <v>5893.6496708506165</v>
      </c>
      <c r="FK96" s="488">
        <v>618</v>
      </c>
      <c r="FL96" s="488">
        <v>0</v>
      </c>
      <c r="FM96" s="488">
        <v>618</v>
      </c>
    </row>
    <row r="97" spans="1:169" s="488" customFormat="1" x14ac:dyDescent="0.2">
      <c r="A97" s="489" t="s">
        <v>327</v>
      </c>
      <c r="B97" s="489" t="s">
        <v>884</v>
      </c>
      <c r="C97" s="489">
        <v>4178</v>
      </c>
      <c r="D97" s="488" t="s">
        <v>221</v>
      </c>
      <c r="E97" s="528">
        <v>121</v>
      </c>
      <c r="F97" s="529">
        <v>0</v>
      </c>
      <c r="G97" s="564">
        <v>0</v>
      </c>
      <c r="H97" s="528">
        <v>484</v>
      </c>
      <c r="I97" s="529">
        <v>1108.6020000000001</v>
      </c>
      <c r="J97" s="528">
        <v>1834193.4547746105</v>
      </c>
      <c r="K97" s="528">
        <v>749</v>
      </c>
      <c r="L97" s="529">
        <v>1505.8644999999999</v>
      </c>
      <c r="M97" s="528">
        <v>2491468.3625660436</v>
      </c>
      <c r="N97" s="500"/>
      <c r="O97" s="500"/>
      <c r="P97" s="500"/>
      <c r="Q97" s="500"/>
      <c r="R97" s="500"/>
      <c r="S97" s="500"/>
      <c r="T97" s="500"/>
      <c r="U97" s="500"/>
      <c r="V97" s="500"/>
      <c r="W97" s="491"/>
      <c r="X97" s="493"/>
      <c r="Y97" s="492"/>
      <c r="Z97" s="529">
        <v>1354</v>
      </c>
      <c r="AA97" s="529">
        <v>2614.4665</v>
      </c>
      <c r="AB97" s="530">
        <v>4325662</v>
      </c>
      <c r="AC97" s="492"/>
      <c r="AD97" s="492"/>
      <c r="AE97" s="492"/>
      <c r="AF97" s="492"/>
      <c r="AG97" s="492"/>
      <c r="AH97" s="492"/>
      <c r="AI97" s="533"/>
      <c r="AJ97" s="530">
        <v>0</v>
      </c>
      <c r="AK97" s="565">
        <v>0</v>
      </c>
      <c r="AL97" s="565">
        <v>41868.410000000003</v>
      </c>
      <c r="AM97" s="534"/>
      <c r="AN97" s="565">
        <v>0</v>
      </c>
      <c r="AO97" s="535">
        <v>321.7</v>
      </c>
      <c r="AP97" s="530">
        <v>12377.426228778149</v>
      </c>
      <c r="AQ97" s="566"/>
      <c r="AR97" s="490"/>
      <c r="AS97" s="490"/>
      <c r="AT97" s="536">
        <v>35</v>
      </c>
      <c r="AU97" s="536">
        <v>20</v>
      </c>
      <c r="AV97" s="542">
        <v>26.25</v>
      </c>
      <c r="AW97" s="565">
        <v>15294.542587615051</v>
      </c>
      <c r="AX97" s="497"/>
      <c r="AY97" s="285">
        <v>0</v>
      </c>
      <c r="AZ97" s="567"/>
      <c r="BA97" s="499"/>
      <c r="BB97" s="528">
        <v>30</v>
      </c>
      <c r="BC97" s="528">
        <v>22851.928783382788</v>
      </c>
      <c r="BD97" s="528">
        <v>28</v>
      </c>
      <c r="BE97" s="565">
        <v>36486.886498914879</v>
      </c>
      <c r="BF97" s="535">
        <v>1323</v>
      </c>
      <c r="BG97" s="535">
        <v>259</v>
      </c>
      <c r="BH97" s="535">
        <v>1337</v>
      </c>
      <c r="BI97" s="535">
        <v>273</v>
      </c>
      <c r="BJ97" s="536">
        <v>1354</v>
      </c>
      <c r="BK97" s="536">
        <v>298</v>
      </c>
      <c r="BL97" s="541">
        <v>1338</v>
      </c>
      <c r="BM97" s="541">
        <v>276.67</v>
      </c>
      <c r="BN97" s="542">
        <v>20.68</v>
      </c>
      <c r="BO97" s="529">
        <v>280.01</v>
      </c>
      <c r="BP97" s="528">
        <v>358475.94590917358</v>
      </c>
      <c r="BQ97" s="536">
        <v>654</v>
      </c>
      <c r="BR97" s="565">
        <v>134716.13442361003</v>
      </c>
      <c r="BS97" s="536">
        <v>615</v>
      </c>
      <c r="BT97" s="530">
        <v>124634.84951455907</v>
      </c>
      <c r="BU97" s="530">
        <v>2185</v>
      </c>
      <c r="BV97" s="530">
        <v>372334.78436257935</v>
      </c>
      <c r="BW97" s="536">
        <v>36</v>
      </c>
      <c r="BX97" s="565">
        <v>59669.525040929933</v>
      </c>
      <c r="BY97" s="490"/>
      <c r="BZ97" s="515">
        <v>17.871041437690671</v>
      </c>
      <c r="CA97" s="515">
        <v>6.3716143020870692</v>
      </c>
      <c r="CB97" s="565">
        <v>414.51721636684954</v>
      </c>
      <c r="CC97" s="565">
        <v>362385.88490148424</v>
      </c>
      <c r="CD97" s="490"/>
      <c r="CE97" s="560">
        <v>34129.90001000074</v>
      </c>
      <c r="CF97" s="490"/>
      <c r="CG97" s="543">
        <v>1354</v>
      </c>
      <c r="CH97" s="532" t="e">
        <v>#DIV/0!</v>
      </c>
      <c r="CI97" s="532" t="e">
        <v>#DIV/0!</v>
      </c>
      <c r="CJ97" s="544"/>
      <c r="CK97" s="490"/>
      <c r="CL97" s="545">
        <v>13095</v>
      </c>
      <c r="CM97" s="546">
        <v>2</v>
      </c>
      <c r="CN97" s="532">
        <v>26190</v>
      </c>
      <c r="CO97" s="565">
        <v>36173.633618087573</v>
      </c>
      <c r="CP97" s="490"/>
      <c r="CQ97" s="490"/>
      <c r="CR97" s="490"/>
      <c r="CS97" s="504"/>
      <c r="CT97" s="504"/>
      <c r="CU97" s="504"/>
      <c r="CV97" s="504"/>
      <c r="CW97" s="565">
        <v>0</v>
      </c>
      <c r="CX97" s="565">
        <v>0</v>
      </c>
      <c r="CY97" s="547"/>
      <c r="CZ97" s="565">
        <v>0</v>
      </c>
      <c r="DA97" s="506">
        <v>23587</v>
      </c>
      <c r="DB97" s="548"/>
      <c r="DC97" s="537">
        <v>0</v>
      </c>
      <c r="DD97" s="530">
        <v>0</v>
      </c>
      <c r="DE97" s="490"/>
      <c r="DF97" s="537">
        <v>1</v>
      </c>
      <c r="DG97" s="565">
        <v>349775.30324456643</v>
      </c>
      <c r="DH97" s="568"/>
      <c r="DI97" s="569">
        <v>0</v>
      </c>
      <c r="DJ97" s="551"/>
      <c r="DK97" s="552"/>
      <c r="DL97" s="611"/>
      <c r="DM97" s="490"/>
      <c r="DN97" s="509"/>
      <c r="DO97" s="570">
        <v>1</v>
      </c>
      <c r="DP97" s="565">
        <v>7084.0811965066614</v>
      </c>
      <c r="DQ97" s="282"/>
      <c r="DR97" s="510"/>
      <c r="DS97" s="571">
        <v>14879</v>
      </c>
      <c r="DT97" s="541">
        <v>0</v>
      </c>
      <c r="DU97" s="541">
        <v>0</v>
      </c>
      <c r="DV97" s="560">
        <v>520222.33333333331</v>
      </c>
      <c r="DW97" s="506">
        <v>-120004.3156188073</v>
      </c>
      <c r="DX97" s="511"/>
      <c r="DY97" s="512">
        <v>18043.833143835614</v>
      </c>
      <c r="DZ97" s="513">
        <v>6750649.0871785507</v>
      </c>
      <c r="EA97" s="513">
        <v>0</v>
      </c>
      <c r="EB97" s="514">
        <v>2185</v>
      </c>
      <c r="EC97" s="514">
        <v>0</v>
      </c>
      <c r="ED97" s="514">
        <v>0</v>
      </c>
      <c r="EE97" s="494"/>
      <c r="EF97" s="513">
        <v>6752834.0871785507</v>
      </c>
      <c r="EG97" s="513">
        <v>6729247.0871785507</v>
      </c>
      <c r="EH97" s="515">
        <v>1354</v>
      </c>
      <c r="EI97" s="516">
        <v>81744.936062337903</v>
      </c>
      <c r="EJ97" s="513">
        <v>6852609.5696535222</v>
      </c>
      <c r="EL97" s="518"/>
      <c r="EM97" s="518">
        <v>6752834.0871785507</v>
      </c>
      <c r="EN97" s="518">
        <v>0</v>
      </c>
      <c r="EO97" s="518">
        <v>0</v>
      </c>
      <c r="EP97" s="518">
        <v>0</v>
      </c>
      <c r="EQ97" s="518">
        <v>-15294.542587615051</v>
      </c>
      <c r="ER97" s="518">
        <v>0</v>
      </c>
      <c r="ES97" s="518">
        <v>-2185</v>
      </c>
      <c r="ET97" s="518">
        <v>0</v>
      </c>
      <c r="EU97" s="518">
        <v>0</v>
      </c>
      <c r="EV97" s="518">
        <v>-520222.33333333331</v>
      </c>
      <c r="EW97" s="518">
        <v>-14879</v>
      </c>
      <c r="EX97" s="518">
        <v>0</v>
      </c>
      <c r="EY97" s="518">
        <v>0</v>
      </c>
      <c r="EZ97" s="518">
        <v>6200253.211257603</v>
      </c>
      <c r="FB97" s="518">
        <v>0</v>
      </c>
      <c r="FC97" s="518">
        <v>-15294.542587615051</v>
      </c>
      <c r="FF97" s="518">
        <v>5677310.184627668</v>
      </c>
      <c r="FI97" s="488">
        <v>5053.1811012694398</v>
      </c>
      <c r="FK97" s="488">
        <v>1227</v>
      </c>
      <c r="FL97" s="488">
        <v>0</v>
      </c>
      <c r="FM97" s="488">
        <v>1227</v>
      </c>
    </row>
    <row r="98" spans="1:169" s="488" customFormat="1" x14ac:dyDescent="0.2">
      <c r="A98" s="557" t="s">
        <v>885</v>
      </c>
      <c r="B98" s="557" t="s">
        <v>886</v>
      </c>
      <c r="C98" s="489" t="s">
        <v>886</v>
      </c>
      <c r="D98" s="488" t="s">
        <v>221</v>
      </c>
      <c r="E98" s="528"/>
      <c r="F98" s="529"/>
      <c r="G98" s="564"/>
      <c r="H98" s="528"/>
      <c r="I98" s="529"/>
      <c r="J98" s="528"/>
      <c r="K98" s="528"/>
      <c r="L98" s="529"/>
      <c r="M98" s="528"/>
      <c r="N98" s="500"/>
      <c r="O98" s="500"/>
      <c r="P98" s="500"/>
      <c r="Q98" s="500"/>
      <c r="R98" s="500"/>
      <c r="S98" s="500"/>
      <c r="T98" s="500"/>
      <c r="U98" s="500"/>
      <c r="V98" s="500"/>
      <c r="W98" s="491"/>
      <c r="X98" s="493"/>
      <c r="Y98" s="492"/>
      <c r="Z98" s="491"/>
      <c r="AA98" s="491"/>
      <c r="AB98" s="492"/>
      <c r="AC98" s="492"/>
      <c r="AD98" s="492"/>
      <c r="AE98" s="492"/>
      <c r="AF98" s="492"/>
      <c r="AG98" s="492"/>
      <c r="AH98" s="492"/>
      <c r="AI98" s="533"/>
      <c r="AJ98" s="530"/>
      <c r="AK98" s="565"/>
      <c r="AL98" s="565"/>
      <c r="AM98" s="534"/>
      <c r="AN98" s="565"/>
      <c r="AO98" s="535"/>
      <c r="AP98" s="565"/>
      <c r="AQ98" s="566"/>
      <c r="AR98" s="490"/>
      <c r="AS98" s="490"/>
      <c r="AT98" s="536">
        <v>132.5</v>
      </c>
      <c r="AU98" s="536">
        <v>117.5</v>
      </c>
      <c r="AV98" s="542">
        <v>123.75</v>
      </c>
      <c r="AW98" s="565">
        <v>72102.843627328097</v>
      </c>
      <c r="AX98" s="497"/>
      <c r="AY98" s="285">
        <v>0</v>
      </c>
      <c r="AZ98" s="567"/>
      <c r="BA98" s="499"/>
      <c r="BB98" s="528"/>
      <c r="BC98" s="528"/>
      <c r="BD98" s="528"/>
      <c r="BE98" s="565"/>
      <c r="BF98" s="535"/>
      <c r="BG98" s="535"/>
      <c r="BH98" s="535"/>
      <c r="BI98" s="535"/>
      <c r="BJ98" s="536"/>
      <c r="BK98" s="536"/>
      <c r="BL98" s="541"/>
      <c r="BM98" s="541"/>
      <c r="BN98" s="542"/>
      <c r="BO98" s="529"/>
      <c r="BP98" s="528"/>
      <c r="BQ98" s="536"/>
      <c r="BR98" s="565"/>
      <c r="BS98" s="536"/>
      <c r="BT98" s="530"/>
      <c r="BU98" s="530"/>
      <c r="BV98" s="530"/>
      <c r="BW98" s="536"/>
      <c r="BX98" s="565"/>
      <c r="BY98" s="490"/>
      <c r="BZ98" s="515"/>
      <c r="CA98" s="515"/>
      <c r="CB98" s="565"/>
      <c r="CC98" s="565"/>
      <c r="CD98" s="490"/>
      <c r="CE98" s="560"/>
      <c r="CF98" s="490"/>
      <c r="CG98" s="543"/>
      <c r="CH98" s="532"/>
      <c r="CI98" s="532"/>
      <c r="CJ98" s="544"/>
      <c r="CK98" s="490"/>
      <c r="CL98" s="545"/>
      <c r="CM98" s="546"/>
      <c r="CN98" s="532"/>
      <c r="CO98" s="565"/>
      <c r="CP98" s="490"/>
      <c r="CQ98" s="490"/>
      <c r="CR98" s="490"/>
      <c r="CS98" s="504"/>
      <c r="CT98" s="504"/>
      <c r="CU98" s="504"/>
      <c r="CV98" s="504"/>
      <c r="CW98" s="565"/>
      <c r="CX98" s="565"/>
      <c r="CY98" s="547"/>
      <c r="CZ98" s="565"/>
      <c r="DA98" s="506"/>
      <c r="DB98" s="548"/>
      <c r="DC98" s="537"/>
      <c r="DD98" s="565"/>
      <c r="DE98" s="490"/>
      <c r="DF98" s="537"/>
      <c r="DG98" s="565"/>
      <c r="DH98" s="568"/>
      <c r="DI98" s="569"/>
      <c r="DJ98" s="551"/>
      <c r="DK98" s="552"/>
      <c r="DL98" s="611"/>
      <c r="DM98" s="490"/>
      <c r="DN98" s="509"/>
      <c r="DO98" s="570"/>
      <c r="DP98" s="565"/>
      <c r="DQ98" s="282"/>
      <c r="DR98" s="510"/>
      <c r="DS98" s="571"/>
      <c r="DT98" s="541"/>
      <c r="DU98" s="541"/>
      <c r="DV98" s="560"/>
      <c r="DW98" s="506"/>
      <c r="DX98" s="511"/>
      <c r="DY98" s="512">
        <v>0</v>
      </c>
      <c r="DZ98" s="513">
        <v>72102.843627328097</v>
      </c>
      <c r="EA98" s="513"/>
      <c r="EB98" s="514">
        <v>6676</v>
      </c>
      <c r="EC98" s="514">
        <v>0</v>
      </c>
      <c r="ED98" s="514">
        <v>0</v>
      </c>
      <c r="EE98" s="494"/>
      <c r="EF98" s="513">
        <v>78778.843627328097</v>
      </c>
      <c r="EG98" s="513">
        <v>78778.843627328097</v>
      </c>
      <c r="EH98" s="515"/>
      <c r="EI98" s="516"/>
      <c r="EJ98" s="513"/>
      <c r="EL98" s="518"/>
      <c r="EM98" s="518">
        <v>78778.843627328097</v>
      </c>
      <c r="EN98" s="518">
        <v>0</v>
      </c>
      <c r="EO98" s="518">
        <v>0</v>
      </c>
      <c r="EP98" s="518">
        <v>0</v>
      </c>
      <c r="EQ98" s="518">
        <v>-72102.843627328097</v>
      </c>
      <c r="ER98" s="518">
        <v>0</v>
      </c>
      <c r="ES98" s="518">
        <v>-6676</v>
      </c>
      <c r="ET98" s="518">
        <v>0</v>
      </c>
      <c r="EU98" s="518">
        <v>0</v>
      </c>
      <c r="EV98" s="518">
        <v>0</v>
      </c>
      <c r="EW98" s="518">
        <v>0</v>
      </c>
      <c r="EX98" s="518">
        <v>0</v>
      </c>
      <c r="EY98" s="758">
        <v>0</v>
      </c>
      <c r="EZ98" s="518">
        <v>0</v>
      </c>
      <c r="FB98" s="518">
        <v>0</v>
      </c>
      <c r="FC98" s="518">
        <v>-72102.843627328097</v>
      </c>
      <c r="FF98" s="518">
        <v>0</v>
      </c>
      <c r="FI98" s="488">
        <v>0</v>
      </c>
      <c r="FL98" s="488">
        <v>0</v>
      </c>
      <c r="FM98" s="488">
        <v>0</v>
      </c>
    </row>
    <row r="99" spans="1:169" s="488" customFormat="1" x14ac:dyDescent="0.2">
      <c r="A99" s="489" t="s">
        <v>328</v>
      </c>
      <c r="B99" s="489" t="s">
        <v>887</v>
      </c>
      <c r="C99" s="489">
        <v>4181</v>
      </c>
      <c r="D99" s="488" t="s">
        <v>221</v>
      </c>
      <c r="E99" s="528">
        <v>80</v>
      </c>
      <c r="F99" s="529">
        <v>0</v>
      </c>
      <c r="G99" s="564">
        <v>0</v>
      </c>
      <c r="H99" s="528">
        <v>432</v>
      </c>
      <c r="I99" s="529">
        <v>989.49600000000009</v>
      </c>
      <c r="J99" s="528">
        <v>1637131.3480632887</v>
      </c>
      <c r="K99" s="528">
        <v>640</v>
      </c>
      <c r="L99" s="529">
        <v>1286.72</v>
      </c>
      <c r="M99" s="528">
        <v>2128891.524756032</v>
      </c>
      <c r="N99" s="500"/>
      <c r="O99" s="500"/>
      <c r="P99" s="500"/>
      <c r="Q99" s="500"/>
      <c r="R99" s="500"/>
      <c r="S99" s="500"/>
      <c r="T99" s="500"/>
      <c r="U99" s="500"/>
      <c r="V99" s="500"/>
      <c r="W99" s="491"/>
      <c r="X99" s="493"/>
      <c r="Y99" s="492"/>
      <c r="Z99" s="529">
        <v>1152</v>
      </c>
      <c r="AA99" s="529">
        <v>2276.2160000000003</v>
      </c>
      <c r="AB99" s="530">
        <v>3766023</v>
      </c>
      <c r="AC99" s="492"/>
      <c r="AD99" s="492"/>
      <c r="AE99" s="492"/>
      <c r="AF99" s="492"/>
      <c r="AG99" s="492"/>
      <c r="AH99" s="492"/>
      <c r="AI99" s="554">
        <v>132703.86418354019</v>
      </c>
      <c r="AJ99" s="530">
        <v>1152</v>
      </c>
      <c r="AK99" s="565">
        <v>19934.704435606614</v>
      </c>
      <c r="AL99" s="565">
        <v>35622.160000000003</v>
      </c>
      <c r="AM99" s="534"/>
      <c r="AN99" s="565">
        <v>0</v>
      </c>
      <c r="AO99" s="535">
        <v>328.1</v>
      </c>
      <c r="AP99" s="530">
        <v>12623.666601374294</v>
      </c>
      <c r="AQ99" s="566"/>
      <c r="AR99" s="490"/>
      <c r="AS99" s="490"/>
      <c r="AT99" s="536">
        <v>40</v>
      </c>
      <c r="AU99" s="536">
        <v>22.5</v>
      </c>
      <c r="AV99" s="542">
        <v>29.791666666666668</v>
      </c>
      <c r="AW99" s="565">
        <v>17358.091984356764</v>
      </c>
      <c r="AX99" s="497"/>
      <c r="AY99" s="285">
        <v>0</v>
      </c>
      <c r="AZ99" s="567"/>
      <c r="BA99" s="499"/>
      <c r="BB99" s="528">
        <v>10</v>
      </c>
      <c r="BC99" s="528">
        <v>7617.3095944609295</v>
      </c>
      <c r="BD99" s="528">
        <v>35</v>
      </c>
      <c r="BE99" s="565">
        <v>45608.6081236436</v>
      </c>
      <c r="BF99" s="535">
        <v>1176</v>
      </c>
      <c r="BG99" s="535">
        <v>149</v>
      </c>
      <c r="BH99" s="535">
        <v>1172</v>
      </c>
      <c r="BI99" s="535">
        <v>152</v>
      </c>
      <c r="BJ99" s="536">
        <v>1152</v>
      </c>
      <c r="BK99" s="536">
        <v>161</v>
      </c>
      <c r="BL99" s="541">
        <v>1166.67</v>
      </c>
      <c r="BM99" s="541">
        <v>154</v>
      </c>
      <c r="BN99" s="542">
        <v>13.2</v>
      </c>
      <c r="BO99" s="529">
        <v>152.06</v>
      </c>
      <c r="BP99" s="528">
        <v>194671.09151440641</v>
      </c>
      <c r="BQ99" s="536">
        <v>26</v>
      </c>
      <c r="BR99" s="565">
        <v>5355.6873012444357</v>
      </c>
      <c r="BS99" s="536">
        <v>28</v>
      </c>
      <c r="BT99" s="530">
        <v>5674.4321730205756</v>
      </c>
      <c r="BU99" s="530">
        <v>851</v>
      </c>
      <c r="BV99" s="530">
        <v>145014.60022542565</v>
      </c>
      <c r="BW99" s="536">
        <v>36</v>
      </c>
      <c r="BX99" s="565">
        <v>59669.525040929933</v>
      </c>
      <c r="BY99" s="490"/>
      <c r="BZ99" s="515">
        <v>15.122022564461782</v>
      </c>
      <c r="CA99" s="515">
        <v>5.334128937619651</v>
      </c>
      <c r="CB99" s="565">
        <v>297.1040306653565</v>
      </c>
      <c r="CC99" s="565">
        <v>259739.0477629228</v>
      </c>
      <c r="CD99" s="490"/>
      <c r="CE99" s="560">
        <v>26637.799452530791</v>
      </c>
      <c r="CF99" s="490"/>
      <c r="CG99" s="543">
        <v>1152</v>
      </c>
      <c r="CH99" s="532" t="e">
        <v>#DIV/0!</v>
      </c>
      <c r="CI99" s="532" t="e">
        <v>#DIV/0!</v>
      </c>
      <c r="CJ99" s="544"/>
      <c r="CK99" s="490"/>
      <c r="CL99" s="545">
        <v>11915.58</v>
      </c>
      <c r="CM99" s="546">
        <v>5</v>
      </c>
      <c r="CN99" s="532">
        <v>59577.9</v>
      </c>
      <c r="CO99" s="565">
        <v>82289.008260216098</v>
      </c>
      <c r="CP99" s="490"/>
      <c r="CQ99" s="490"/>
      <c r="CR99" s="490"/>
      <c r="CS99" s="504"/>
      <c r="CT99" s="504"/>
      <c r="CU99" s="504"/>
      <c r="CV99" s="504"/>
      <c r="CW99" s="565">
        <v>0</v>
      </c>
      <c r="CX99" s="565">
        <v>0</v>
      </c>
      <c r="CY99" s="547"/>
      <c r="CZ99" s="565">
        <v>0</v>
      </c>
      <c r="DA99" s="506">
        <v>18503.2</v>
      </c>
      <c r="DB99" s="548">
        <v>23317274</v>
      </c>
      <c r="DC99" s="537">
        <v>233.17274</v>
      </c>
      <c r="DD99" s="530">
        <v>44523.18</v>
      </c>
      <c r="DE99" s="490"/>
      <c r="DF99" s="537">
        <v>1</v>
      </c>
      <c r="DG99" s="565">
        <v>349775.30324456643</v>
      </c>
      <c r="DH99" s="568"/>
      <c r="DI99" s="569">
        <v>0</v>
      </c>
      <c r="DJ99" s="551"/>
      <c r="DK99" s="552"/>
      <c r="DL99" s="611"/>
      <c r="DM99" s="490"/>
      <c r="DN99" s="509"/>
      <c r="DO99" s="570">
        <v>1</v>
      </c>
      <c r="DP99" s="565">
        <v>6027.2241790071448</v>
      </c>
      <c r="DQ99" s="282"/>
      <c r="DR99" s="510"/>
      <c r="DS99" s="571">
        <v>10745</v>
      </c>
      <c r="DT99" s="541">
        <v>0</v>
      </c>
      <c r="DU99" s="541">
        <v>0</v>
      </c>
      <c r="DV99" s="560">
        <v>0</v>
      </c>
      <c r="DW99" s="506">
        <v>-62578.88462967574</v>
      </c>
      <c r="DX99" s="511"/>
      <c r="DY99" s="512">
        <v>0</v>
      </c>
      <c r="DZ99" s="513">
        <v>5183537.6194475768</v>
      </c>
      <c r="EA99" s="513">
        <v>0</v>
      </c>
      <c r="EB99" s="514">
        <v>-364</v>
      </c>
      <c r="EC99" s="514">
        <v>0</v>
      </c>
      <c r="ED99" s="514">
        <v>0</v>
      </c>
      <c r="EE99" s="494"/>
      <c r="EF99" s="513">
        <v>5183173.6194475768</v>
      </c>
      <c r="EG99" s="513">
        <v>5164670.4194475766</v>
      </c>
      <c r="EH99" s="515">
        <v>1152</v>
      </c>
      <c r="EI99" s="516">
        <v>69549.605866922648</v>
      </c>
      <c r="EJ99" s="513">
        <v>5246116.5040772529</v>
      </c>
      <c r="EL99" s="518"/>
      <c r="EM99" s="518">
        <v>5183173.6194475768</v>
      </c>
      <c r="EN99" s="518">
        <v>0</v>
      </c>
      <c r="EO99" s="518">
        <v>0</v>
      </c>
      <c r="EP99" s="518">
        <v>0</v>
      </c>
      <c r="EQ99" s="518">
        <v>-17358.091984356764</v>
      </c>
      <c r="ER99" s="518">
        <v>0</v>
      </c>
      <c r="ES99" s="518">
        <v>364</v>
      </c>
      <c r="ET99" s="518">
        <v>-132703.86418354019</v>
      </c>
      <c r="EU99" s="518">
        <v>0</v>
      </c>
      <c r="EV99" s="518">
        <v>0</v>
      </c>
      <c r="EW99" s="518">
        <v>-10745</v>
      </c>
      <c r="EX99" s="518">
        <v>0</v>
      </c>
      <c r="EY99" s="518">
        <v>-47412.475114377041</v>
      </c>
      <c r="EZ99" s="518">
        <v>4975318.1881653024</v>
      </c>
      <c r="FB99" s="518">
        <v>0</v>
      </c>
      <c r="FC99" s="518">
        <v>-150061.95616789695</v>
      </c>
      <c r="FF99" s="518">
        <v>4470755.2850709287</v>
      </c>
      <c r="FI99" s="488">
        <v>4698.1286007226654</v>
      </c>
      <c r="FK99" s="488">
        <v>1072</v>
      </c>
      <c r="FL99" s="488">
        <v>13</v>
      </c>
      <c r="FM99" s="488">
        <v>1059</v>
      </c>
    </row>
    <row r="100" spans="1:169" s="488" customFormat="1" x14ac:dyDescent="0.2">
      <c r="A100" s="489" t="s">
        <v>74</v>
      </c>
      <c r="B100" s="489" t="s">
        <v>888</v>
      </c>
      <c r="C100" s="489">
        <v>4182</v>
      </c>
      <c r="D100" s="488" t="s">
        <v>221</v>
      </c>
      <c r="E100" s="528">
        <v>222</v>
      </c>
      <c r="F100" s="529">
        <v>0</v>
      </c>
      <c r="G100" s="564">
        <v>0</v>
      </c>
      <c r="H100" s="528">
        <v>504</v>
      </c>
      <c r="I100" s="529">
        <v>1154.412</v>
      </c>
      <c r="J100" s="528">
        <v>1909986.5727405034</v>
      </c>
      <c r="K100" s="528">
        <v>801</v>
      </c>
      <c r="L100" s="529">
        <v>1610.4105</v>
      </c>
      <c r="M100" s="528">
        <v>2664440.798952471</v>
      </c>
      <c r="N100" s="500"/>
      <c r="O100" s="500"/>
      <c r="P100" s="500"/>
      <c r="Q100" s="500"/>
      <c r="R100" s="500"/>
      <c r="S100" s="500"/>
      <c r="T100" s="500"/>
      <c r="U100" s="500"/>
      <c r="V100" s="500"/>
      <c r="W100" s="491"/>
      <c r="X100" s="493"/>
      <c r="Y100" s="492"/>
      <c r="Z100" s="529">
        <v>1527</v>
      </c>
      <c r="AA100" s="529">
        <v>2764.8225000000002</v>
      </c>
      <c r="AB100" s="530">
        <v>4574428</v>
      </c>
      <c r="AC100" s="492"/>
      <c r="AD100" s="492"/>
      <c r="AE100" s="492"/>
      <c r="AF100" s="492"/>
      <c r="AG100" s="492"/>
      <c r="AH100" s="492"/>
      <c r="AI100" s="533"/>
      <c r="AJ100" s="530">
        <v>0</v>
      </c>
      <c r="AK100" s="565">
        <v>0</v>
      </c>
      <c r="AL100" s="565">
        <v>47217.91</v>
      </c>
      <c r="AM100" s="534"/>
      <c r="AN100" s="565">
        <v>0</v>
      </c>
      <c r="AO100" s="535">
        <v>529.9</v>
      </c>
      <c r="AP100" s="530">
        <v>20387.933349796524</v>
      </c>
      <c r="AQ100" s="566"/>
      <c r="AR100" s="490"/>
      <c r="AS100" s="490"/>
      <c r="AT100" s="536">
        <v>35</v>
      </c>
      <c r="AU100" s="536">
        <v>35</v>
      </c>
      <c r="AV100" s="542">
        <v>35</v>
      </c>
      <c r="AW100" s="565">
        <v>20392.7234501534</v>
      </c>
      <c r="AX100" s="497"/>
      <c r="AY100" s="285">
        <v>0</v>
      </c>
      <c r="AZ100" s="567"/>
      <c r="BA100" s="499"/>
      <c r="BB100" s="528">
        <v>13</v>
      </c>
      <c r="BC100" s="528">
        <v>9902.5024727992077</v>
      </c>
      <c r="BD100" s="528">
        <v>20</v>
      </c>
      <c r="BE100" s="565">
        <v>26062.0617849392</v>
      </c>
      <c r="BF100" s="535">
        <v>1496</v>
      </c>
      <c r="BG100" s="535">
        <v>84</v>
      </c>
      <c r="BH100" s="535">
        <v>1507</v>
      </c>
      <c r="BI100" s="535">
        <v>100</v>
      </c>
      <c r="BJ100" s="536">
        <v>1527</v>
      </c>
      <c r="BK100" s="536">
        <v>103</v>
      </c>
      <c r="BL100" s="541">
        <v>1510</v>
      </c>
      <c r="BM100" s="541">
        <v>95.67</v>
      </c>
      <c r="BN100" s="542">
        <v>6.34</v>
      </c>
      <c r="BO100" s="529">
        <v>96.81</v>
      </c>
      <c r="BP100" s="528">
        <v>123938.63191838541</v>
      </c>
      <c r="BQ100" s="536">
        <v>468</v>
      </c>
      <c r="BR100" s="565">
        <v>96402.37142239984</v>
      </c>
      <c r="BS100" s="536">
        <v>333</v>
      </c>
      <c r="BT100" s="530">
        <v>67485.211200566133</v>
      </c>
      <c r="BU100" s="530">
        <v>493</v>
      </c>
      <c r="BV100" s="530">
        <v>84009.633268078542</v>
      </c>
      <c r="BW100" s="536">
        <v>20</v>
      </c>
      <c r="BX100" s="565">
        <v>33149.736133849961</v>
      </c>
      <c r="BY100" s="490"/>
      <c r="BZ100" s="515">
        <v>9.264161293827204</v>
      </c>
      <c r="CA100" s="515">
        <v>2.727802465414177</v>
      </c>
      <c r="CB100" s="565">
        <v>224.77083025049035</v>
      </c>
      <c r="CC100" s="565">
        <v>196502.75791748613</v>
      </c>
      <c r="CD100" s="490"/>
      <c r="CE100" s="560">
        <v>26528.295078408701</v>
      </c>
      <c r="CF100" s="490"/>
      <c r="CG100" s="543">
        <v>1527</v>
      </c>
      <c r="CH100" s="532" t="e">
        <v>#DIV/0!</v>
      </c>
      <c r="CI100" s="532" t="e">
        <v>#DIV/0!</v>
      </c>
      <c r="CJ100" s="544"/>
      <c r="CK100" s="490"/>
      <c r="CL100" s="545">
        <v>10893.75</v>
      </c>
      <c r="CM100" s="546">
        <v>2</v>
      </c>
      <c r="CN100" s="532">
        <v>21787.5</v>
      </c>
      <c r="CO100" s="565">
        <v>30092.899673695418</v>
      </c>
      <c r="CP100" s="490"/>
      <c r="CQ100" s="490"/>
      <c r="CR100" s="490"/>
      <c r="CS100" s="504"/>
      <c r="CT100" s="504"/>
      <c r="CU100" s="504"/>
      <c r="CV100" s="504"/>
      <c r="CW100" s="565">
        <v>0</v>
      </c>
      <c r="CX100" s="565">
        <v>0</v>
      </c>
      <c r="CY100" s="547"/>
      <c r="CZ100" s="565">
        <v>0</v>
      </c>
      <c r="DA100" s="506">
        <v>92516</v>
      </c>
      <c r="DB100" s="548"/>
      <c r="DC100" s="537">
        <v>0</v>
      </c>
      <c r="DD100" s="530">
        <v>0</v>
      </c>
      <c r="DE100" s="490"/>
      <c r="DF100" s="537">
        <v>1</v>
      </c>
      <c r="DG100" s="565">
        <v>349775.30324456643</v>
      </c>
      <c r="DH100" s="568"/>
      <c r="DI100" s="569">
        <v>0</v>
      </c>
      <c r="DJ100" s="551"/>
      <c r="DK100" s="552"/>
      <c r="DL100" s="611"/>
      <c r="DM100" s="490"/>
      <c r="DN100" s="509"/>
      <c r="DO100" s="570">
        <v>0</v>
      </c>
      <c r="DP100" s="565">
        <v>0</v>
      </c>
      <c r="DQ100" s="282"/>
      <c r="DR100" s="510"/>
      <c r="DS100" s="571">
        <v>20737</v>
      </c>
      <c r="DT100" s="541">
        <v>0</v>
      </c>
      <c r="DU100" s="541">
        <v>0</v>
      </c>
      <c r="DV100" s="560">
        <v>987112.33333333337</v>
      </c>
      <c r="DW100" s="506">
        <v>-120004.85812282367</v>
      </c>
      <c r="DX100" s="511"/>
      <c r="DY100" s="512">
        <v>0</v>
      </c>
      <c r="DZ100" s="513">
        <v>6686636.4461256349</v>
      </c>
      <c r="EA100" s="513">
        <v>0</v>
      </c>
      <c r="EB100" s="514">
        <v>2792</v>
      </c>
      <c r="EC100" s="514">
        <v>0</v>
      </c>
      <c r="ED100" s="514">
        <v>0</v>
      </c>
      <c r="EE100" s="494"/>
      <c r="EF100" s="513">
        <v>6689428.4461256349</v>
      </c>
      <c r="EG100" s="513">
        <v>6596912.4461256349</v>
      </c>
      <c r="EH100" s="515">
        <v>1527</v>
      </c>
      <c r="EI100" s="516">
        <v>92189.451526728197</v>
      </c>
      <c r="EJ100" s="513">
        <v>6806641.3042484587</v>
      </c>
      <c r="EL100" s="518"/>
      <c r="EM100" s="518">
        <v>6689428.4461256349</v>
      </c>
      <c r="EN100" s="518">
        <v>0</v>
      </c>
      <c r="EO100" s="518">
        <v>0</v>
      </c>
      <c r="EP100" s="518">
        <v>0</v>
      </c>
      <c r="EQ100" s="518">
        <v>-20392.7234501534</v>
      </c>
      <c r="ER100" s="518">
        <v>0</v>
      </c>
      <c r="ES100" s="518">
        <v>-2792</v>
      </c>
      <c r="ET100" s="518">
        <v>0</v>
      </c>
      <c r="EU100" s="518">
        <v>0</v>
      </c>
      <c r="EV100" s="518">
        <v>-987112.33333333337</v>
      </c>
      <c r="EW100" s="518">
        <v>-20737</v>
      </c>
      <c r="EX100" s="518">
        <v>0</v>
      </c>
      <c r="EY100" s="518">
        <v>0</v>
      </c>
      <c r="EZ100" s="518">
        <v>5658394.3893421488</v>
      </c>
      <c r="FB100" s="518">
        <v>0</v>
      </c>
      <c r="FC100" s="518">
        <v>-20392.7234501534</v>
      </c>
      <c r="FF100" s="518">
        <v>5144861.9282114087</v>
      </c>
      <c r="FI100" s="488">
        <v>4349.2654798940421</v>
      </c>
      <c r="FK100" s="488">
        <v>1301</v>
      </c>
      <c r="FL100" s="488">
        <v>0</v>
      </c>
      <c r="FM100" s="488">
        <v>1301</v>
      </c>
    </row>
    <row r="101" spans="1:169" s="488" customFormat="1" x14ac:dyDescent="0.2">
      <c r="A101" s="489" t="s">
        <v>75</v>
      </c>
      <c r="B101" s="489" t="s">
        <v>889</v>
      </c>
      <c r="C101" s="559">
        <v>4609</v>
      </c>
      <c r="D101" s="488" t="s">
        <v>221</v>
      </c>
      <c r="E101" s="528">
        <v>106</v>
      </c>
      <c r="F101" s="529">
        <v>0</v>
      </c>
      <c r="G101" s="564">
        <v>0</v>
      </c>
      <c r="H101" s="528">
        <v>365</v>
      </c>
      <c r="I101" s="529">
        <v>836.03250000000003</v>
      </c>
      <c r="J101" s="528">
        <v>1383224.4028775471</v>
      </c>
      <c r="K101" s="528">
        <v>511</v>
      </c>
      <c r="L101" s="529">
        <v>1027.3654999999999</v>
      </c>
      <c r="M101" s="528">
        <v>1699786.8267973941</v>
      </c>
      <c r="N101" s="500"/>
      <c r="O101" s="500"/>
      <c r="P101" s="500"/>
      <c r="Q101" s="500"/>
      <c r="R101" s="500"/>
      <c r="S101" s="500"/>
      <c r="T101" s="500"/>
      <c r="U101" s="500"/>
      <c r="V101" s="500"/>
      <c r="W101" s="491"/>
      <c r="X101" s="493"/>
      <c r="Y101" s="492"/>
      <c r="Z101" s="529">
        <v>982</v>
      </c>
      <c r="AA101" s="529">
        <v>1863.3979999999999</v>
      </c>
      <c r="AB101" s="530">
        <v>3083011</v>
      </c>
      <c r="AC101" s="492"/>
      <c r="AD101" s="492"/>
      <c r="AE101" s="492"/>
      <c r="AF101" s="492"/>
      <c r="AG101" s="492"/>
      <c r="AH101" s="492"/>
      <c r="AI101" s="533"/>
      <c r="AJ101" s="530">
        <v>982</v>
      </c>
      <c r="AK101" s="565">
        <v>16992.951176879946</v>
      </c>
      <c r="AL101" s="565">
        <v>30365.42</v>
      </c>
      <c r="AM101" s="534"/>
      <c r="AN101" s="565">
        <v>0</v>
      </c>
      <c r="AO101" s="535">
        <v>269.7</v>
      </c>
      <c r="AP101" s="530">
        <v>10376.723201434461</v>
      </c>
      <c r="AQ101" s="566"/>
      <c r="AR101" s="490"/>
      <c r="AS101" s="490"/>
      <c r="AT101" s="536">
        <v>17.5</v>
      </c>
      <c r="AU101" s="536">
        <v>17.5</v>
      </c>
      <c r="AV101" s="542">
        <v>17.5</v>
      </c>
      <c r="AW101" s="565">
        <v>10196.3617250767</v>
      </c>
      <c r="AX101" s="497"/>
      <c r="AY101" s="285">
        <v>0</v>
      </c>
      <c r="AZ101" s="567"/>
      <c r="BA101" s="499"/>
      <c r="BB101" s="528">
        <v>26</v>
      </c>
      <c r="BC101" s="528">
        <v>19805.004945598415</v>
      </c>
      <c r="BD101" s="528">
        <v>51</v>
      </c>
      <c r="BE101" s="565">
        <v>66458.257551594957</v>
      </c>
      <c r="BF101" s="535">
        <v>1054</v>
      </c>
      <c r="BG101" s="535">
        <v>335</v>
      </c>
      <c r="BH101" s="535">
        <v>1008</v>
      </c>
      <c r="BI101" s="535">
        <v>326</v>
      </c>
      <c r="BJ101" s="536">
        <v>982</v>
      </c>
      <c r="BK101" s="536">
        <v>298</v>
      </c>
      <c r="BL101" s="541">
        <v>1014.67</v>
      </c>
      <c r="BM101" s="541">
        <v>319.67</v>
      </c>
      <c r="BN101" s="542">
        <v>31.5</v>
      </c>
      <c r="BO101" s="529">
        <v>309.33</v>
      </c>
      <c r="BP101" s="528">
        <v>396012.15795180411</v>
      </c>
      <c r="BQ101" s="536">
        <v>164</v>
      </c>
      <c r="BR101" s="565">
        <v>33782.027592464903</v>
      </c>
      <c r="BS101" s="536">
        <v>128</v>
      </c>
      <c r="BT101" s="530">
        <v>25940.261362379773</v>
      </c>
      <c r="BU101" s="530">
        <v>2294</v>
      </c>
      <c r="BV101" s="530">
        <v>390908.92234679958</v>
      </c>
      <c r="BW101" s="536">
        <v>45</v>
      </c>
      <c r="BX101" s="565">
        <v>74586.906301162424</v>
      </c>
      <c r="BY101" s="490"/>
      <c r="BZ101" s="515">
        <v>23.997553650930143</v>
      </c>
      <c r="CA101" s="515">
        <v>12.882799196675549</v>
      </c>
      <c r="CB101" s="565">
        <v>488.6741530748418</v>
      </c>
      <c r="CC101" s="565">
        <v>427216.55072050309</v>
      </c>
      <c r="CD101" s="490"/>
      <c r="CE101" s="560">
        <v>32318.63275588087</v>
      </c>
      <c r="CF101" s="490"/>
      <c r="CG101" s="543">
        <v>982</v>
      </c>
      <c r="CH101" s="532" t="e">
        <v>#DIV/0!</v>
      </c>
      <c r="CI101" s="532" t="e">
        <v>#DIV/0!</v>
      </c>
      <c r="CJ101" s="544"/>
      <c r="CK101" s="490"/>
      <c r="CL101" s="545">
        <v>11580</v>
      </c>
      <c r="CM101" s="546">
        <v>1</v>
      </c>
      <c r="CN101" s="532">
        <v>11580</v>
      </c>
      <c r="CO101" s="565">
        <v>15994.298484057048</v>
      </c>
      <c r="CP101" s="490"/>
      <c r="CQ101" s="490"/>
      <c r="CR101" s="490"/>
      <c r="CS101" s="504"/>
      <c r="CT101" s="504"/>
      <c r="CU101" s="504"/>
      <c r="CV101" s="504"/>
      <c r="CW101" s="565">
        <v>0</v>
      </c>
      <c r="CX101" s="565">
        <v>0</v>
      </c>
      <c r="CY101" s="547"/>
      <c r="CZ101" s="565">
        <v>0</v>
      </c>
      <c r="DA101" s="506">
        <v>53128</v>
      </c>
      <c r="DB101" s="548">
        <v>24000000</v>
      </c>
      <c r="DC101" s="537">
        <v>240</v>
      </c>
      <c r="DD101" s="530">
        <v>45826.81</v>
      </c>
      <c r="DE101" s="490"/>
      <c r="DF101" s="537">
        <v>1</v>
      </c>
      <c r="DG101" s="565">
        <v>349775.30324456643</v>
      </c>
      <c r="DH101" s="568"/>
      <c r="DI101" s="569">
        <v>0</v>
      </c>
      <c r="DJ101" s="551"/>
      <c r="DK101" s="552"/>
      <c r="DL101" s="560">
        <v>299230.14711775293</v>
      </c>
      <c r="DM101" s="490"/>
      <c r="DN101" s="561">
        <v>13399.965632327978</v>
      </c>
      <c r="DO101" s="570">
        <v>1</v>
      </c>
      <c r="DP101" s="565">
        <v>5137.7900553689378</v>
      </c>
      <c r="DQ101" s="282"/>
      <c r="DR101" s="510"/>
      <c r="DS101" s="571">
        <v>10148</v>
      </c>
      <c r="DT101" s="541">
        <v>0</v>
      </c>
      <c r="DU101" s="541">
        <v>0</v>
      </c>
      <c r="DV101" s="560">
        <v>579812.66666666674</v>
      </c>
      <c r="DW101" s="506">
        <v>-168647.36753115282</v>
      </c>
      <c r="DX101" s="511"/>
      <c r="DY101" s="512">
        <v>2827.5</v>
      </c>
      <c r="DZ101" s="513">
        <v>5824604.2913011666</v>
      </c>
      <c r="EA101" s="513">
        <v>0</v>
      </c>
      <c r="EB101" s="514">
        <v>0</v>
      </c>
      <c r="EC101" s="514">
        <v>0</v>
      </c>
      <c r="ED101" s="514">
        <v>0</v>
      </c>
      <c r="EE101" s="494"/>
      <c r="EF101" s="513">
        <v>5824604.2913011666</v>
      </c>
      <c r="EG101" s="513">
        <v>5771476.2913011666</v>
      </c>
      <c r="EH101" s="515">
        <v>982</v>
      </c>
      <c r="EI101" s="516">
        <v>59286.209167810797</v>
      </c>
      <c r="EJ101" s="513">
        <v>5990424.1588323191</v>
      </c>
      <c r="EL101" s="518"/>
      <c r="EM101" s="518">
        <v>5824604.2913011666</v>
      </c>
      <c r="EN101" s="518">
        <v>0</v>
      </c>
      <c r="EO101" s="518">
        <v>0</v>
      </c>
      <c r="EP101" s="518">
        <v>0</v>
      </c>
      <c r="EQ101" s="518">
        <v>-10196.3617250767</v>
      </c>
      <c r="ER101" s="518">
        <v>0</v>
      </c>
      <c r="ES101" s="518">
        <v>0</v>
      </c>
      <c r="ET101" s="518">
        <v>0</v>
      </c>
      <c r="EU101" s="518">
        <v>0</v>
      </c>
      <c r="EV101" s="518">
        <v>-579812.66666666674</v>
      </c>
      <c r="EW101" s="518">
        <v>-10148</v>
      </c>
      <c r="EX101" s="518">
        <v>0</v>
      </c>
      <c r="EY101" s="518">
        <v>0</v>
      </c>
      <c r="EZ101" s="518">
        <v>5224447.2629094226</v>
      </c>
      <c r="FB101" s="518">
        <v>0</v>
      </c>
      <c r="FC101" s="518">
        <v>-10196.3617250767</v>
      </c>
      <c r="FF101" s="518">
        <v>4462778.9926695824</v>
      </c>
      <c r="FI101" s="488">
        <v>5883.3865573304311</v>
      </c>
      <c r="FK101" s="488">
        <v>888</v>
      </c>
      <c r="FL101" s="488">
        <v>0</v>
      </c>
      <c r="FM101" s="488">
        <v>888</v>
      </c>
    </row>
    <row r="102" spans="1:169" s="488" customFormat="1" x14ac:dyDescent="0.2">
      <c r="A102" s="489" t="s">
        <v>329</v>
      </c>
      <c r="B102" s="489" t="s">
        <v>890</v>
      </c>
      <c r="C102" s="489">
        <v>5406</v>
      </c>
      <c r="D102" s="488" t="s">
        <v>221</v>
      </c>
      <c r="E102" s="528">
        <v>0</v>
      </c>
      <c r="F102" s="529">
        <v>0</v>
      </c>
      <c r="G102" s="564">
        <v>0</v>
      </c>
      <c r="H102" s="528">
        <v>376</v>
      </c>
      <c r="I102" s="529">
        <v>861.22800000000007</v>
      </c>
      <c r="J102" s="528">
        <v>1424910.6177587882</v>
      </c>
      <c r="K102" s="528">
        <v>553</v>
      </c>
      <c r="L102" s="529">
        <v>1111.8064999999999</v>
      </c>
      <c r="M102" s="528">
        <v>1839495.3331095087</v>
      </c>
      <c r="N102" s="500"/>
      <c r="O102" s="500"/>
      <c r="P102" s="500"/>
      <c r="Q102" s="500"/>
      <c r="R102" s="500"/>
      <c r="S102" s="500"/>
      <c r="T102" s="500"/>
      <c r="U102" s="500"/>
      <c r="V102" s="500"/>
      <c r="W102" s="491"/>
      <c r="X102" s="493"/>
      <c r="Y102" s="492"/>
      <c r="Z102" s="529">
        <v>929</v>
      </c>
      <c r="AA102" s="529">
        <v>1973.0345</v>
      </c>
      <c r="AB102" s="530">
        <v>3264405</v>
      </c>
      <c r="AC102" s="492"/>
      <c r="AD102" s="492"/>
      <c r="AE102" s="492"/>
      <c r="AF102" s="492"/>
      <c r="AG102" s="492"/>
      <c r="AH102" s="492"/>
      <c r="AI102" s="533"/>
      <c r="AJ102" s="530">
        <v>929</v>
      </c>
      <c r="AK102" s="565">
        <v>16075.816337394572</v>
      </c>
      <c r="AL102" s="565">
        <v>28726.55</v>
      </c>
      <c r="AM102" s="534"/>
      <c r="AN102" s="565">
        <v>0</v>
      </c>
      <c r="AO102" s="535">
        <v>272.60000000000002</v>
      </c>
      <c r="AP102" s="530">
        <v>10488.300870267092</v>
      </c>
      <c r="AQ102" s="566"/>
      <c r="AR102" s="490"/>
      <c r="AS102" s="490"/>
      <c r="AT102" s="536">
        <v>0</v>
      </c>
      <c r="AU102" s="536">
        <v>0</v>
      </c>
      <c r="AV102" s="542">
        <v>0</v>
      </c>
      <c r="AW102" s="565">
        <v>0</v>
      </c>
      <c r="AX102" s="497"/>
      <c r="AY102" s="285">
        <v>0</v>
      </c>
      <c r="AZ102" s="567"/>
      <c r="BA102" s="499"/>
      <c r="BB102" s="528">
        <v>28</v>
      </c>
      <c r="BC102" s="528">
        <v>21328.466864490601</v>
      </c>
      <c r="BD102" s="528">
        <v>46</v>
      </c>
      <c r="BE102" s="565">
        <v>59942.742105360165</v>
      </c>
      <c r="BF102" s="535">
        <v>982</v>
      </c>
      <c r="BG102" s="535">
        <v>120</v>
      </c>
      <c r="BH102" s="535">
        <v>949</v>
      </c>
      <c r="BI102" s="535">
        <v>139</v>
      </c>
      <c r="BJ102" s="536">
        <v>929</v>
      </c>
      <c r="BK102" s="536">
        <v>126</v>
      </c>
      <c r="BL102" s="541">
        <v>953.33</v>
      </c>
      <c r="BM102" s="541">
        <v>128.33000000000001</v>
      </c>
      <c r="BN102" s="542">
        <v>13.46</v>
      </c>
      <c r="BO102" s="529">
        <v>125.04</v>
      </c>
      <c r="BP102" s="528">
        <v>160079.39815179125</v>
      </c>
      <c r="BQ102" s="536">
        <v>109</v>
      </c>
      <c r="BR102" s="565">
        <v>22452.689070601671</v>
      </c>
      <c r="BS102" s="536">
        <v>90</v>
      </c>
      <c r="BT102" s="530">
        <v>18239.246270423278</v>
      </c>
      <c r="BU102" s="530">
        <v>919</v>
      </c>
      <c r="BV102" s="530">
        <v>156602.13584860889</v>
      </c>
      <c r="BW102" s="536">
        <v>30</v>
      </c>
      <c r="BX102" s="565">
        <v>49724.604200774949</v>
      </c>
      <c r="BY102" s="490"/>
      <c r="BZ102" s="515">
        <v>16.52301584408114</v>
      </c>
      <c r="CA102" s="515">
        <v>6.9117789670398224</v>
      </c>
      <c r="CB102" s="565">
        <v>281.91967039911367</v>
      </c>
      <c r="CC102" s="565">
        <v>246464.33295137796</v>
      </c>
      <c r="CD102" s="490"/>
      <c r="CE102" s="560">
        <v>23781.145536977707</v>
      </c>
      <c r="CF102" s="490"/>
      <c r="CG102" s="543">
        <v>929</v>
      </c>
      <c r="CH102" s="532" t="e">
        <v>#DIV/0!</v>
      </c>
      <c r="CI102" s="532" t="e">
        <v>#DIV/0!</v>
      </c>
      <c r="CJ102" s="544"/>
      <c r="CK102" s="490"/>
      <c r="CL102" s="545">
        <v>8522</v>
      </c>
      <c r="CM102" s="546">
        <v>2</v>
      </c>
      <c r="CN102" s="532">
        <v>17044</v>
      </c>
      <c r="CO102" s="565">
        <v>23541.176456154433</v>
      </c>
      <c r="CP102" s="490"/>
      <c r="CQ102" s="490"/>
      <c r="CR102" s="490"/>
      <c r="CS102" s="504"/>
      <c r="CT102" s="504"/>
      <c r="CU102" s="504"/>
      <c r="CV102" s="504"/>
      <c r="CW102" s="565">
        <v>0</v>
      </c>
      <c r="CX102" s="565">
        <v>0</v>
      </c>
      <c r="CY102" s="547"/>
      <c r="CZ102" s="565">
        <v>0</v>
      </c>
      <c r="DA102" s="506">
        <v>23358</v>
      </c>
      <c r="DB102" s="548">
        <v>14253012</v>
      </c>
      <c r="DC102" s="537">
        <v>142.53012000000001</v>
      </c>
      <c r="DD102" s="530">
        <v>27215.42</v>
      </c>
      <c r="DE102" s="490"/>
      <c r="DF102" s="537">
        <v>1</v>
      </c>
      <c r="DG102" s="565">
        <v>349775.30324456643</v>
      </c>
      <c r="DH102" s="568"/>
      <c r="DI102" s="569">
        <v>0</v>
      </c>
      <c r="DJ102" s="551"/>
      <c r="DK102" s="552"/>
      <c r="DL102" s="611"/>
      <c r="DM102" s="490"/>
      <c r="DN102" s="509"/>
      <c r="DO102" s="570">
        <v>1</v>
      </c>
      <c r="DP102" s="565">
        <v>4860.4958874111435</v>
      </c>
      <c r="DQ102" s="282"/>
      <c r="DR102" s="510"/>
      <c r="DS102" s="571">
        <v>0</v>
      </c>
      <c r="DT102" s="541">
        <v>0</v>
      </c>
      <c r="DU102" s="541">
        <v>0</v>
      </c>
      <c r="DV102" s="560">
        <v>0</v>
      </c>
      <c r="DW102" s="506">
        <v>0</v>
      </c>
      <c r="DX102" s="511"/>
      <c r="DY102" s="512">
        <v>244.75928630136968</v>
      </c>
      <c r="DZ102" s="513">
        <v>4507305.5830825008</v>
      </c>
      <c r="EA102" s="513">
        <v>0</v>
      </c>
      <c r="EB102" s="514">
        <v>0</v>
      </c>
      <c r="EC102" s="514">
        <v>0</v>
      </c>
      <c r="ED102" s="514">
        <v>0</v>
      </c>
      <c r="EE102" s="494"/>
      <c r="EF102" s="513">
        <v>4507305.5830825008</v>
      </c>
      <c r="EG102" s="513">
        <v>4483947.5830825008</v>
      </c>
      <c r="EH102" s="515">
        <v>929</v>
      </c>
      <c r="EI102" s="516">
        <v>56086.444314558277</v>
      </c>
      <c r="EJ102" s="513">
        <v>4507060.8237961996</v>
      </c>
      <c r="EL102" s="518"/>
      <c r="EM102" s="518">
        <v>4507305.5830825008</v>
      </c>
      <c r="EN102" s="518">
        <v>0</v>
      </c>
      <c r="EO102" s="518">
        <v>0</v>
      </c>
      <c r="EP102" s="518">
        <v>0</v>
      </c>
      <c r="EQ102" s="518">
        <v>0</v>
      </c>
      <c r="ER102" s="518">
        <v>0</v>
      </c>
      <c r="ES102" s="518">
        <v>0</v>
      </c>
      <c r="ET102" s="518">
        <v>0</v>
      </c>
      <c r="EU102" s="518">
        <v>0</v>
      </c>
      <c r="EV102" s="518">
        <v>0</v>
      </c>
      <c r="EW102" s="518">
        <v>0</v>
      </c>
      <c r="EX102" s="518">
        <v>0</v>
      </c>
      <c r="EY102" s="518">
        <v>0</v>
      </c>
      <c r="EZ102" s="518">
        <v>4507305.5830825008</v>
      </c>
      <c r="FB102" s="518">
        <v>0</v>
      </c>
      <c r="FC102" s="518">
        <v>0</v>
      </c>
      <c r="FF102" s="518">
        <v>3949698.2685120339</v>
      </c>
      <c r="FI102" s="488">
        <v>4805.2298327105555</v>
      </c>
      <c r="FK102" s="488">
        <v>938</v>
      </c>
      <c r="FL102" s="488">
        <v>0</v>
      </c>
      <c r="FM102" s="488">
        <v>938</v>
      </c>
    </row>
    <row r="103" spans="1:169" s="488" customFormat="1" x14ac:dyDescent="0.2">
      <c r="A103" s="489" t="s">
        <v>330</v>
      </c>
      <c r="B103" s="489" t="s">
        <v>891</v>
      </c>
      <c r="C103" s="489">
        <v>5407</v>
      </c>
      <c r="D103" s="488" t="s">
        <v>221</v>
      </c>
      <c r="E103" s="528">
        <v>146</v>
      </c>
      <c r="F103" s="529">
        <v>0</v>
      </c>
      <c r="G103" s="564">
        <v>0</v>
      </c>
      <c r="H103" s="528">
        <v>398</v>
      </c>
      <c r="I103" s="529">
        <v>911.61900000000003</v>
      </c>
      <c r="J103" s="528">
        <v>1508283.0475212706</v>
      </c>
      <c r="K103" s="528">
        <v>602</v>
      </c>
      <c r="L103" s="529">
        <v>1210.3209999999999</v>
      </c>
      <c r="M103" s="528">
        <v>2002488.5904736423</v>
      </c>
      <c r="N103" s="500"/>
      <c r="O103" s="500"/>
      <c r="P103" s="500"/>
      <c r="Q103" s="500"/>
      <c r="R103" s="500"/>
      <c r="S103" s="500"/>
      <c r="T103" s="500"/>
      <c r="U103" s="500"/>
      <c r="V103" s="500"/>
      <c r="W103" s="491"/>
      <c r="X103" s="493"/>
      <c r="Y103" s="492"/>
      <c r="Z103" s="529">
        <v>1146</v>
      </c>
      <c r="AA103" s="529">
        <v>2121.94</v>
      </c>
      <c r="AB103" s="530">
        <v>3510772</v>
      </c>
      <c r="AC103" s="492"/>
      <c r="AD103" s="492"/>
      <c r="AE103" s="492"/>
      <c r="AF103" s="492"/>
      <c r="AG103" s="492"/>
      <c r="AH103" s="492"/>
      <c r="AI103" s="533"/>
      <c r="AJ103" s="530">
        <v>1146</v>
      </c>
      <c r="AK103" s="565">
        <v>19830.877850004497</v>
      </c>
      <c r="AL103" s="565">
        <v>35436.629999999997</v>
      </c>
      <c r="AM103" s="534"/>
      <c r="AN103" s="565">
        <v>0</v>
      </c>
      <c r="AO103" s="535">
        <v>262.89999999999998</v>
      </c>
      <c r="AP103" s="530">
        <v>10115.092805551056</v>
      </c>
      <c r="AQ103" s="566"/>
      <c r="AR103" s="490"/>
      <c r="AS103" s="490"/>
      <c r="AT103" s="536">
        <v>0</v>
      </c>
      <c r="AU103" s="536">
        <v>0</v>
      </c>
      <c r="AV103" s="542">
        <v>0</v>
      </c>
      <c r="AW103" s="565">
        <v>0</v>
      </c>
      <c r="AX103" s="497"/>
      <c r="AY103" s="285">
        <v>0</v>
      </c>
      <c r="AZ103" s="567"/>
      <c r="BA103" s="499"/>
      <c r="BB103" s="528">
        <v>14</v>
      </c>
      <c r="BC103" s="528">
        <v>10664.233432245301</v>
      </c>
      <c r="BD103" s="528">
        <v>55</v>
      </c>
      <c r="BE103" s="565">
        <v>71670.6699085828</v>
      </c>
      <c r="BF103" s="535">
        <v>1273</v>
      </c>
      <c r="BG103" s="535">
        <v>215</v>
      </c>
      <c r="BH103" s="535">
        <v>1265</v>
      </c>
      <c r="BI103" s="535">
        <v>236</v>
      </c>
      <c r="BJ103" s="536">
        <v>1146</v>
      </c>
      <c r="BK103" s="536">
        <v>214</v>
      </c>
      <c r="BL103" s="541">
        <v>1228</v>
      </c>
      <c r="BM103" s="541">
        <v>221.67</v>
      </c>
      <c r="BN103" s="542">
        <v>18.05</v>
      </c>
      <c r="BO103" s="529">
        <v>206.85</v>
      </c>
      <c r="BP103" s="528">
        <v>264814.64737442433</v>
      </c>
      <c r="BQ103" s="536">
        <v>80</v>
      </c>
      <c r="BR103" s="565">
        <v>16479.03784998288</v>
      </c>
      <c r="BS103" s="536">
        <v>66</v>
      </c>
      <c r="BT103" s="530">
        <v>13375.447264977071</v>
      </c>
      <c r="BU103" s="530">
        <v>1778</v>
      </c>
      <c r="BV103" s="530">
        <v>302979.97555911494</v>
      </c>
      <c r="BW103" s="536">
        <v>41</v>
      </c>
      <c r="BX103" s="565">
        <v>67956.959074392435</v>
      </c>
      <c r="BY103" s="490"/>
      <c r="BZ103" s="515">
        <v>19.772072590438462</v>
      </c>
      <c r="CA103" s="515">
        <v>8.3020743123149909</v>
      </c>
      <c r="CB103" s="565">
        <v>416.87149512468432</v>
      </c>
      <c r="CC103" s="565">
        <v>364444.08021226159</v>
      </c>
      <c r="CD103" s="490"/>
      <c r="CE103" s="560">
        <v>30492.485640739804</v>
      </c>
      <c r="CF103" s="490"/>
      <c r="CG103" s="543">
        <v>1146</v>
      </c>
      <c r="CH103" s="532" t="e">
        <v>#DIV/0!</v>
      </c>
      <c r="CI103" s="532" t="e">
        <v>#DIV/0!</v>
      </c>
      <c r="CJ103" s="544"/>
      <c r="CK103" s="490"/>
      <c r="CL103" s="545">
        <v>12986.74</v>
      </c>
      <c r="CM103" s="546">
        <v>2</v>
      </c>
      <c r="CN103" s="532">
        <v>25973.48</v>
      </c>
      <c r="CO103" s="565">
        <v>35874.576147641281</v>
      </c>
      <c r="CP103" s="490"/>
      <c r="CQ103" s="490"/>
      <c r="CR103" s="490"/>
      <c r="CS103" s="504"/>
      <c r="CT103" s="504"/>
      <c r="CU103" s="504"/>
      <c r="CV103" s="504"/>
      <c r="CW103" s="565">
        <v>1</v>
      </c>
      <c r="CX103" s="565">
        <v>8054.133979627346</v>
      </c>
      <c r="CY103" s="547"/>
      <c r="CZ103" s="565">
        <v>0</v>
      </c>
      <c r="DA103" s="506">
        <v>25419</v>
      </c>
      <c r="DB103" s="548">
        <v>33700000</v>
      </c>
      <c r="DC103" s="537">
        <v>337</v>
      </c>
      <c r="DD103" s="530">
        <v>64348.480000000003</v>
      </c>
      <c r="DE103" s="490"/>
      <c r="DF103" s="537">
        <v>1</v>
      </c>
      <c r="DG103" s="565">
        <v>349775.30324456643</v>
      </c>
      <c r="DH103" s="568"/>
      <c r="DI103" s="569">
        <v>0</v>
      </c>
      <c r="DJ103" s="551"/>
      <c r="DK103" s="552"/>
      <c r="DL103" s="282"/>
      <c r="DM103" s="612">
        <v>72513</v>
      </c>
      <c r="DN103" s="509"/>
      <c r="DO103" s="570">
        <v>1</v>
      </c>
      <c r="DP103" s="565">
        <v>5995.8323864081494</v>
      </c>
      <c r="DQ103" s="282"/>
      <c r="DR103" s="510"/>
      <c r="DS103" s="571">
        <v>14161</v>
      </c>
      <c r="DT103" s="541">
        <v>0</v>
      </c>
      <c r="DU103" s="541">
        <v>0</v>
      </c>
      <c r="DV103" s="560">
        <v>784433</v>
      </c>
      <c r="DW103" s="506">
        <v>-152045.94795780143</v>
      </c>
      <c r="DX103" s="511"/>
      <c r="DY103" s="512">
        <v>0</v>
      </c>
      <c r="DZ103" s="513">
        <v>5927560.5147727178</v>
      </c>
      <c r="EA103" s="513">
        <v>0</v>
      </c>
      <c r="EB103" s="514">
        <v>0</v>
      </c>
      <c r="EC103" s="514">
        <v>0</v>
      </c>
      <c r="ED103" s="514">
        <v>0</v>
      </c>
      <c r="EE103" s="494"/>
      <c r="EF103" s="513">
        <v>5927560.5147727178</v>
      </c>
      <c r="EG103" s="513">
        <v>5902141.5147727178</v>
      </c>
      <c r="EH103" s="515">
        <v>1146</v>
      </c>
      <c r="EI103" s="516">
        <v>69187.368336365762</v>
      </c>
      <c r="EJ103" s="513">
        <v>6079606.4627305204</v>
      </c>
      <c r="EL103" s="518"/>
      <c r="EM103" s="518">
        <v>5927560.5147727178</v>
      </c>
      <c r="EN103" s="518">
        <v>0</v>
      </c>
      <c r="EO103" s="518">
        <v>0</v>
      </c>
      <c r="EP103" s="518">
        <v>0</v>
      </c>
      <c r="EQ103" s="518">
        <v>0</v>
      </c>
      <c r="ER103" s="518">
        <v>0</v>
      </c>
      <c r="ES103" s="518">
        <v>0</v>
      </c>
      <c r="ET103" s="518">
        <v>0</v>
      </c>
      <c r="EU103" s="518">
        <v>0</v>
      </c>
      <c r="EV103" s="518">
        <v>-784433</v>
      </c>
      <c r="EW103" s="518">
        <v>-14161</v>
      </c>
      <c r="EX103" s="518">
        <v>0</v>
      </c>
      <c r="EY103" s="518">
        <v>0</v>
      </c>
      <c r="EZ103" s="518">
        <v>5128966.5147727178</v>
      </c>
      <c r="FB103" s="518">
        <v>0</v>
      </c>
      <c r="FC103" s="518">
        <v>0</v>
      </c>
      <c r="FF103" s="518">
        <v>4574599.2515295697</v>
      </c>
      <c r="FI103" s="488">
        <v>5123.8426721006172</v>
      </c>
      <c r="FK103" s="488">
        <v>1001</v>
      </c>
      <c r="FL103" s="488">
        <v>0</v>
      </c>
      <c r="FM103" s="488">
        <v>1001</v>
      </c>
    </row>
    <row r="104" spans="1:169" s="488" customFormat="1" x14ac:dyDescent="0.2">
      <c r="A104" s="489" t="s">
        <v>331</v>
      </c>
      <c r="B104" s="489" t="s">
        <v>892</v>
      </c>
      <c r="C104" s="489">
        <v>4607</v>
      </c>
      <c r="D104" s="488" t="s">
        <v>221</v>
      </c>
      <c r="E104" s="528">
        <v>286</v>
      </c>
      <c r="F104" s="529">
        <v>0</v>
      </c>
      <c r="G104" s="564">
        <v>0</v>
      </c>
      <c r="H104" s="528">
        <v>476</v>
      </c>
      <c r="I104" s="529">
        <v>1090.278</v>
      </c>
      <c r="J104" s="528">
        <v>1803876.2075882531</v>
      </c>
      <c r="K104" s="528">
        <v>732</v>
      </c>
      <c r="L104" s="529">
        <v>1471.6859999999999</v>
      </c>
      <c r="M104" s="528">
        <v>2434919.6814397112</v>
      </c>
      <c r="N104" s="500"/>
      <c r="O104" s="500"/>
      <c r="P104" s="500"/>
      <c r="Q104" s="500"/>
      <c r="R104" s="500"/>
      <c r="S104" s="500"/>
      <c r="T104" s="500"/>
      <c r="U104" s="500"/>
      <c r="V104" s="500"/>
      <c r="W104" s="491"/>
      <c r="X104" s="493"/>
      <c r="Y104" s="492"/>
      <c r="Z104" s="529">
        <v>1494</v>
      </c>
      <c r="AA104" s="529">
        <v>2561.9639999999999</v>
      </c>
      <c r="AB104" s="530">
        <v>4238796</v>
      </c>
      <c r="AC104" s="492"/>
      <c r="AD104" s="492"/>
      <c r="AE104" s="492"/>
      <c r="AF104" s="492"/>
      <c r="AG104" s="492"/>
      <c r="AH104" s="492"/>
      <c r="AI104" s="554">
        <v>560475.59116377262</v>
      </c>
      <c r="AJ104" s="530">
        <v>0</v>
      </c>
      <c r="AK104" s="565">
        <v>0</v>
      </c>
      <c r="AL104" s="565">
        <v>46197.49</v>
      </c>
      <c r="AM104" s="534"/>
      <c r="AN104" s="565">
        <v>0</v>
      </c>
      <c r="AO104" s="535">
        <v>517.1</v>
      </c>
      <c r="AP104" s="530">
        <v>19895.45260460423</v>
      </c>
      <c r="AQ104" s="566"/>
      <c r="AR104" s="490"/>
      <c r="AS104" s="490"/>
      <c r="AT104" s="536">
        <v>72.5</v>
      </c>
      <c r="AU104" s="536">
        <v>72.5</v>
      </c>
      <c r="AV104" s="542">
        <v>72.5</v>
      </c>
      <c r="AW104" s="565">
        <v>42242.070003889188</v>
      </c>
      <c r="AX104" s="497"/>
      <c r="AY104" s="285">
        <v>0</v>
      </c>
      <c r="AZ104" s="567"/>
      <c r="BA104" s="499"/>
      <c r="BB104" s="528">
        <v>26</v>
      </c>
      <c r="BC104" s="528">
        <v>19805.004945598415</v>
      </c>
      <c r="BD104" s="528">
        <v>38</v>
      </c>
      <c r="BE104" s="565">
        <v>49517.917391384479</v>
      </c>
      <c r="BF104" s="535">
        <v>1471</v>
      </c>
      <c r="BG104" s="535">
        <v>188</v>
      </c>
      <c r="BH104" s="535">
        <v>1483</v>
      </c>
      <c r="BI104" s="535">
        <v>198</v>
      </c>
      <c r="BJ104" s="536">
        <v>1494</v>
      </c>
      <c r="BK104" s="536">
        <v>235</v>
      </c>
      <c r="BL104" s="541">
        <v>1482.67</v>
      </c>
      <c r="BM104" s="541">
        <v>207</v>
      </c>
      <c r="BN104" s="542">
        <v>13.96</v>
      </c>
      <c r="BO104" s="529">
        <v>208.56</v>
      </c>
      <c r="BP104" s="528">
        <v>267003.8330017401</v>
      </c>
      <c r="BQ104" s="536">
        <v>270</v>
      </c>
      <c r="BR104" s="565">
        <v>55616.752743692217</v>
      </c>
      <c r="BS104" s="536">
        <v>280</v>
      </c>
      <c r="BT104" s="530">
        <v>56744.321730205753</v>
      </c>
      <c r="BU104" s="530">
        <v>1999</v>
      </c>
      <c r="BV104" s="530">
        <v>340639.46633446048</v>
      </c>
      <c r="BW104" s="536">
        <v>38</v>
      </c>
      <c r="BX104" s="565">
        <v>62984.498654314935</v>
      </c>
      <c r="BY104" s="490"/>
      <c r="BZ104" s="515">
        <v>16.481076650308928</v>
      </c>
      <c r="CA104" s="515">
        <v>6.1102738516445836</v>
      </c>
      <c r="CB104" s="565">
        <v>428.80226784275555</v>
      </c>
      <c r="CC104" s="565">
        <v>374874.39156794333</v>
      </c>
      <c r="CD104" s="490"/>
      <c r="CE104" s="560">
        <v>33471.305665310094</v>
      </c>
      <c r="CF104" s="490"/>
      <c r="CG104" s="543">
        <v>1494</v>
      </c>
      <c r="CH104" s="532" t="e">
        <v>#DIV/0!</v>
      </c>
      <c r="CI104" s="532" t="e">
        <v>#DIV/0!</v>
      </c>
      <c r="CJ104" s="544"/>
      <c r="CK104" s="490"/>
      <c r="CL104" s="545">
        <v>12102.41</v>
      </c>
      <c r="CM104" s="546">
        <v>4</v>
      </c>
      <c r="CN104" s="532">
        <v>48409.64</v>
      </c>
      <c r="CO104" s="565">
        <v>66863.405152482504</v>
      </c>
      <c r="CP104" s="490"/>
      <c r="CQ104" s="490"/>
      <c r="CR104" s="490"/>
      <c r="CS104" s="504"/>
      <c r="CT104" s="504"/>
      <c r="CU104" s="504"/>
      <c r="CV104" s="504"/>
      <c r="CW104" s="565">
        <v>1</v>
      </c>
      <c r="CX104" s="565">
        <v>19329.921551105632</v>
      </c>
      <c r="CY104" s="547"/>
      <c r="CZ104" s="565">
        <v>0</v>
      </c>
      <c r="DA104" s="506">
        <v>27022</v>
      </c>
      <c r="DB104" s="548"/>
      <c r="DC104" s="537">
        <v>0</v>
      </c>
      <c r="DD104" s="530">
        <v>0</v>
      </c>
      <c r="DE104" s="490"/>
      <c r="DF104" s="537">
        <v>1</v>
      </c>
      <c r="DG104" s="565">
        <v>349775.30324456643</v>
      </c>
      <c r="DH104" s="568"/>
      <c r="DI104" s="569">
        <v>0</v>
      </c>
      <c r="DJ104" s="551"/>
      <c r="DK104" s="552"/>
      <c r="DL104" s="282"/>
      <c r="DM104" s="490"/>
      <c r="DN104" s="509"/>
      <c r="DO104" s="570">
        <v>1</v>
      </c>
      <c r="DP104" s="565">
        <v>7816.5563571498906</v>
      </c>
      <c r="DQ104" s="282"/>
      <c r="DR104" s="510"/>
      <c r="DS104" s="571">
        <v>15982</v>
      </c>
      <c r="DT104" s="541">
        <v>0</v>
      </c>
      <c r="DU104" s="541">
        <v>0</v>
      </c>
      <c r="DV104" s="560">
        <v>1359412.3333333335</v>
      </c>
      <c r="DW104" s="506">
        <v>-237443.52248369143</v>
      </c>
      <c r="DX104" s="511"/>
      <c r="DY104" s="512">
        <v>4360.4693799999995</v>
      </c>
      <c r="DZ104" s="513">
        <v>7781382.5623418642</v>
      </c>
      <c r="EA104" s="513">
        <v>0</v>
      </c>
      <c r="EB104" s="514">
        <v>19786</v>
      </c>
      <c r="EC104" s="514">
        <v>0</v>
      </c>
      <c r="ED104" s="514">
        <v>0</v>
      </c>
      <c r="EE104" s="494"/>
      <c r="EF104" s="513">
        <v>7801168.5623418642</v>
      </c>
      <c r="EG104" s="513">
        <v>7774146.5623418642</v>
      </c>
      <c r="EH104" s="515">
        <v>1494</v>
      </c>
      <c r="EI104" s="516">
        <v>90197.145108665311</v>
      </c>
      <c r="EJ104" s="513">
        <v>8014465.6154455561</v>
      </c>
      <c r="EL104" s="518"/>
      <c r="EM104" s="518">
        <v>7801168.5623418642</v>
      </c>
      <c r="EN104" s="518">
        <v>0</v>
      </c>
      <c r="EO104" s="518">
        <v>0</v>
      </c>
      <c r="EP104" s="518">
        <v>0</v>
      </c>
      <c r="EQ104" s="518">
        <v>-42242.070003889188</v>
      </c>
      <c r="ER104" s="518">
        <v>0</v>
      </c>
      <c r="ES104" s="518">
        <v>-19786</v>
      </c>
      <c r="ET104" s="518">
        <v>-560475.59116377262</v>
      </c>
      <c r="EU104" s="518">
        <v>0</v>
      </c>
      <c r="EV104" s="518">
        <v>-1359412.3333333335</v>
      </c>
      <c r="EW104" s="518">
        <v>-15982</v>
      </c>
      <c r="EX104" s="518">
        <v>0</v>
      </c>
      <c r="EY104" s="518">
        <v>-62654.651478943495</v>
      </c>
      <c r="EZ104" s="518">
        <v>5740615.9163619252</v>
      </c>
      <c r="FB104" s="518">
        <v>0</v>
      </c>
      <c r="FC104" s="518">
        <v>-602717.66116766178</v>
      </c>
      <c r="FF104" s="518">
        <v>5401007.8092702106</v>
      </c>
      <c r="FI104" s="488">
        <v>4824.0469885394332</v>
      </c>
      <c r="FK104" s="488">
        <v>1218</v>
      </c>
      <c r="FL104" s="488">
        <v>28</v>
      </c>
      <c r="FM104" s="488">
        <v>1190</v>
      </c>
    </row>
    <row r="105" spans="1:169" s="488" customFormat="1" x14ac:dyDescent="0.2">
      <c r="A105" s="489" t="s">
        <v>78</v>
      </c>
      <c r="B105" s="489" t="s">
        <v>893</v>
      </c>
      <c r="C105" s="489">
        <v>4158</v>
      </c>
      <c r="D105" s="488" t="s">
        <v>221</v>
      </c>
      <c r="E105" s="528">
        <v>0</v>
      </c>
      <c r="F105" s="529">
        <v>0</v>
      </c>
      <c r="G105" s="564">
        <v>0</v>
      </c>
      <c r="H105" s="528">
        <v>312</v>
      </c>
      <c r="I105" s="529">
        <v>714.63600000000008</v>
      </c>
      <c r="J105" s="528">
        <v>1182372.6402679307</v>
      </c>
      <c r="K105" s="528">
        <v>583</v>
      </c>
      <c r="L105" s="529">
        <v>1172.1215</v>
      </c>
      <c r="M105" s="528">
        <v>1939287.1233324478</v>
      </c>
      <c r="N105" s="500"/>
      <c r="O105" s="500"/>
      <c r="P105" s="500"/>
      <c r="Q105" s="500"/>
      <c r="R105" s="500"/>
      <c r="S105" s="500"/>
      <c r="T105" s="500"/>
      <c r="U105" s="500"/>
      <c r="V105" s="500"/>
      <c r="W105" s="491"/>
      <c r="X105" s="493"/>
      <c r="Y105" s="492"/>
      <c r="Z105" s="529">
        <v>895</v>
      </c>
      <c r="AA105" s="529">
        <v>1886.7575000000002</v>
      </c>
      <c r="AB105" s="530">
        <v>3121660</v>
      </c>
      <c r="AC105" s="492"/>
      <c r="AD105" s="492"/>
      <c r="AE105" s="492"/>
      <c r="AF105" s="492"/>
      <c r="AG105" s="492"/>
      <c r="AH105" s="492"/>
      <c r="AI105" s="533"/>
      <c r="AJ105" s="530">
        <v>0</v>
      </c>
      <c r="AK105" s="565">
        <v>0</v>
      </c>
      <c r="AL105" s="565">
        <v>27675.200000000001</v>
      </c>
      <c r="AM105" s="534"/>
      <c r="AN105" s="565">
        <v>0</v>
      </c>
      <c r="AO105" s="535">
        <v>276.42500000000001</v>
      </c>
      <c r="AP105" s="530">
        <v>10635.467967951507</v>
      </c>
      <c r="AQ105" s="566"/>
      <c r="AR105" s="490"/>
      <c r="AS105" s="490"/>
      <c r="AT105" s="536">
        <v>10</v>
      </c>
      <c r="AU105" s="536">
        <v>10</v>
      </c>
      <c r="AV105" s="542">
        <v>10</v>
      </c>
      <c r="AW105" s="565">
        <v>5826.492414329543</v>
      </c>
      <c r="AX105" s="497"/>
      <c r="AY105" s="285">
        <v>0</v>
      </c>
      <c r="AZ105" s="567"/>
      <c r="BA105" s="499"/>
      <c r="BB105" s="528">
        <v>35</v>
      </c>
      <c r="BC105" s="528">
        <v>26660.583580613253</v>
      </c>
      <c r="BD105" s="528">
        <v>41</v>
      </c>
      <c r="BE105" s="565">
        <v>53427.226659125365</v>
      </c>
      <c r="BF105" s="535">
        <v>901</v>
      </c>
      <c r="BG105" s="535">
        <v>243</v>
      </c>
      <c r="BH105" s="535">
        <v>897</v>
      </c>
      <c r="BI105" s="535">
        <v>232</v>
      </c>
      <c r="BJ105" s="536">
        <v>895</v>
      </c>
      <c r="BK105" s="536">
        <v>252</v>
      </c>
      <c r="BL105" s="541">
        <v>897.67</v>
      </c>
      <c r="BM105" s="541">
        <v>242.33</v>
      </c>
      <c r="BN105" s="542">
        <v>27</v>
      </c>
      <c r="BO105" s="529">
        <v>241.65</v>
      </c>
      <c r="BP105" s="528">
        <v>309366.49522856972</v>
      </c>
      <c r="BQ105" s="536">
        <v>364</v>
      </c>
      <c r="BR105" s="565">
        <v>74979.622217422104</v>
      </c>
      <c r="BS105" s="536">
        <v>242</v>
      </c>
      <c r="BT105" s="530">
        <v>49043.306638249262</v>
      </c>
      <c r="BU105" s="530">
        <v>1855</v>
      </c>
      <c r="BV105" s="530">
        <v>316101.15560301358</v>
      </c>
      <c r="BW105" s="536">
        <v>36</v>
      </c>
      <c r="BX105" s="565">
        <v>59669.525040929933</v>
      </c>
      <c r="BY105" s="490"/>
      <c r="BZ105" s="515">
        <v>18.955005661666011</v>
      </c>
      <c r="CA105" s="515">
        <v>12.995080443021255</v>
      </c>
      <c r="CB105" s="565">
        <v>402.25924060199128</v>
      </c>
      <c r="CC105" s="565">
        <v>351669.52085372945</v>
      </c>
      <c r="CD105" s="490"/>
      <c r="CE105" s="560">
        <v>28653.434986334571</v>
      </c>
      <c r="CF105" s="490"/>
      <c r="CG105" s="543">
        <v>895</v>
      </c>
      <c r="CH105" s="532" t="e">
        <v>#DIV/0!</v>
      </c>
      <c r="CI105" s="532" t="e">
        <v>#DIV/0!</v>
      </c>
      <c r="CJ105" s="544"/>
      <c r="CK105" s="490"/>
      <c r="CL105" s="545">
        <v>10652</v>
      </c>
      <c r="CM105" s="546">
        <v>1</v>
      </c>
      <c r="CN105" s="532">
        <v>10652</v>
      </c>
      <c r="CO105" s="565">
        <v>14712.544684989265</v>
      </c>
      <c r="CP105" s="490"/>
      <c r="CQ105" s="490"/>
      <c r="CR105" s="490"/>
      <c r="CS105" s="504"/>
      <c r="CT105" s="504"/>
      <c r="CU105" s="504"/>
      <c r="CV105" s="504"/>
      <c r="CW105" s="565">
        <v>0</v>
      </c>
      <c r="CX105" s="565">
        <v>0</v>
      </c>
      <c r="CY105" s="547"/>
      <c r="CZ105" s="565">
        <v>0</v>
      </c>
      <c r="DA105" s="506">
        <v>17404</v>
      </c>
      <c r="DB105" s="548"/>
      <c r="DC105" s="537">
        <v>0</v>
      </c>
      <c r="DD105" s="530">
        <v>0</v>
      </c>
      <c r="DE105" s="490"/>
      <c r="DF105" s="537">
        <v>1</v>
      </c>
      <c r="DG105" s="565">
        <v>349775.30324456643</v>
      </c>
      <c r="DH105" s="568"/>
      <c r="DI105" s="569">
        <v>0</v>
      </c>
      <c r="DJ105" s="551"/>
      <c r="DK105" s="552"/>
      <c r="DL105" s="282"/>
      <c r="DM105" s="490"/>
      <c r="DN105" s="509"/>
      <c r="DO105" s="570">
        <v>1</v>
      </c>
      <c r="DP105" s="565">
        <v>4682.6090626835021</v>
      </c>
      <c r="DQ105" s="282"/>
      <c r="DR105" s="510"/>
      <c r="DS105" s="571">
        <v>0</v>
      </c>
      <c r="DT105" s="541">
        <v>0</v>
      </c>
      <c r="DU105" s="541">
        <v>0</v>
      </c>
      <c r="DV105" s="560">
        <v>0</v>
      </c>
      <c r="DW105" s="506">
        <v>0</v>
      </c>
      <c r="DX105" s="511"/>
      <c r="DY105" s="512">
        <v>7833.08025</v>
      </c>
      <c r="DZ105" s="513">
        <v>4829775.568432508</v>
      </c>
      <c r="EA105" s="513">
        <v>749.30697459448129</v>
      </c>
      <c r="EB105" s="514">
        <v>3399</v>
      </c>
      <c r="EC105" s="514">
        <v>0</v>
      </c>
      <c r="ED105" s="514">
        <v>0</v>
      </c>
      <c r="EE105" s="494"/>
      <c r="EF105" s="513">
        <v>4833923.8754071025</v>
      </c>
      <c r="EG105" s="513">
        <v>4816519.8754071025</v>
      </c>
      <c r="EH105" s="515">
        <v>895</v>
      </c>
      <c r="EI105" s="516">
        <v>54033.76497473591</v>
      </c>
      <c r="EJ105" s="513">
        <v>4821942.4881825084</v>
      </c>
      <c r="EL105" s="518"/>
      <c r="EM105" s="518">
        <v>4833923.8754071025</v>
      </c>
      <c r="EN105" s="518">
        <v>0</v>
      </c>
      <c r="EO105" s="518">
        <v>0</v>
      </c>
      <c r="EP105" s="518">
        <v>0</v>
      </c>
      <c r="EQ105" s="518">
        <v>-5826.492414329543</v>
      </c>
      <c r="ER105" s="518">
        <v>0</v>
      </c>
      <c r="ES105" s="518">
        <v>-3399</v>
      </c>
      <c r="ET105" s="518">
        <v>0</v>
      </c>
      <c r="EU105" s="518">
        <v>0</v>
      </c>
      <c r="EV105" s="518">
        <v>0</v>
      </c>
      <c r="EW105" s="518">
        <v>0</v>
      </c>
      <c r="EX105" s="518">
        <v>0</v>
      </c>
      <c r="EY105" s="518">
        <v>0</v>
      </c>
      <c r="EZ105" s="518">
        <v>4824698.3829927733</v>
      </c>
      <c r="FB105" s="518">
        <v>0</v>
      </c>
      <c r="FC105" s="518">
        <v>-5826.492414329543</v>
      </c>
      <c r="FF105" s="518">
        <v>4293442.9465732956</v>
      </c>
      <c r="FI105" s="488">
        <v>5445.4835022491798</v>
      </c>
      <c r="FK105" s="488">
        <v>886</v>
      </c>
      <c r="FL105" s="488">
        <v>0</v>
      </c>
      <c r="FM105" s="488">
        <v>886</v>
      </c>
    </row>
    <row r="106" spans="1:169" s="586" customFormat="1" x14ac:dyDescent="0.2">
      <c r="A106" s="572" t="s">
        <v>80</v>
      </c>
      <c r="B106" s="572" t="s">
        <v>894</v>
      </c>
      <c r="C106" s="572">
        <v>5412</v>
      </c>
      <c r="D106" s="586" t="s">
        <v>221</v>
      </c>
      <c r="E106" s="574">
        <v>0</v>
      </c>
      <c r="F106" s="575">
        <v>0</v>
      </c>
      <c r="G106" s="576">
        <v>0</v>
      </c>
      <c r="H106" s="574">
        <v>510</v>
      </c>
      <c r="I106" s="575">
        <v>1168.155</v>
      </c>
      <c r="J106" s="574">
        <v>1932724.5081302715</v>
      </c>
      <c r="K106" s="574">
        <v>763</v>
      </c>
      <c r="L106" s="575">
        <v>1534.0115000000001</v>
      </c>
      <c r="M106" s="574">
        <v>2538037.864670082</v>
      </c>
      <c r="N106" s="577"/>
      <c r="O106" s="577"/>
      <c r="P106" s="577"/>
      <c r="Q106" s="577"/>
      <c r="R106" s="577"/>
      <c r="S106" s="577"/>
      <c r="T106" s="577"/>
      <c r="U106" s="577"/>
      <c r="V106" s="577"/>
      <c r="W106" s="578"/>
      <c r="X106" s="579"/>
      <c r="Y106" s="580"/>
      <c r="Z106" s="575">
        <v>1273</v>
      </c>
      <c r="AA106" s="575">
        <v>2702.1665000000003</v>
      </c>
      <c r="AB106" s="581">
        <v>4470763</v>
      </c>
      <c r="AC106" s="580"/>
      <c r="AD106" s="580"/>
      <c r="AE106" s="580"/>
      <c r="AF106" s="580"/>
      <c r="AG106" s="580"/>
      <c r="AH106" s="580"/>
      <c r="AI106" s="582"/>
      <c r="AJ106" s="581">
        <v>1273</v>
      </c>
      <c r="AK106" s="583">
        <v>22028.540578582659</v>
      </c>
      <c r="AL106" s="583">
        <v>39363.72</v>
      </c>
      <c r="AM106" s="584"/>
      <c r="AN106" s="583">
        <v>0</v>
      </c>
      <c r="AO106" s="535">
        <v>774.1</v>
      </c>
      <c r="AP106" s="581">
        <v>29783.542566668213</v>
      </c>
      <c r="AQ106" s="585"/>
      <c r="AT106" s="536">
        <v>5</v>
      </c>
      <c r="AU106" s="536">
        <v>5</v>
      </c>
      <c r="AV106" s="587">
        <v>5</v>
      </c>
      <c r="AW106" s="583">
        <v>2913.2462071647715</v>
      </c>
      <c r="AX106" s="588"/>
      <c r="AY106" s="589">
        <v>0</v>
      </c>
      <c r="AZ106" s="590"/>
      <c r="BA106" s="591"/>
      <c r="BB106" s="528">
        <v>6</v>
      </c>
      <c r="BC106" s="574">
        <v>4570.3857566765573</v>
      </c>
      <c r="BD106" s="528">
        <v>19</v>
      </c>
      <c r="BE106" s="583">
        <v>24758.958695692239</v>
      </c>
      <c r="BF106" s="535">
        <v>1294</v>
      </c>
      <c r="BG106" s="535">
        <v>156</v>
      </c>
      <c r="BH106" s="535">
        <v>1301</v>
      </c>
      <c r="BI106" s="535">
        <v>160</v>
      </c>
      <c r="BJ106" s="592">
        <v>1273</v>
      </c>
      <c r="BK106" s="536">
        <v>137</v>
      </c>
      <c r="BL106" s="593">
        <v>1289.33</v>
      </c>
      <c r="BM106" s="593">
        <v>151</v>
      </c>
      <c r="BN106" s="587">
        <v>11.71</v>
      </c>
      <c r="BO106" s="575">
        <v>149.07</v>
      </c>
      <c r="BP106" s="574">
        <v>190843.21723038645</v>
      </c>
      <c r="BQ106" s="536">
        <v>27</v>
      </c>
      <c r="BR106" s="583">
        <v>5561.6752743692214</v>
      </c>
      <c r="BS106" s="536">
        <v>27</v>
      </c>
      <c r="BT106" s="581">
        <v>5471.7738811269837</v>
      </c>
      <c r="BU106" s="530">
        <v>688</v>
      </c>
      <c r="BV106" s="530">
        <v>117238.59571691287</v>
      </c>
      <c r="BW106" s="536">
        <v>26</v>
      </c>
      <c r="BX106" s="583">
        <v>43094.656974004953</v>
      </c>
      <c r="BZ106" s="515">
        <v>11.470063736133373</v>
      </c>
      <c r="CA106" s="515">
        <v>3.7049867970241683</v>
      </c>
      <c r="CB106" s="583">
        <v>240.34287521321312</v>
      </c>
      <c r="CC106" s="583">
        <v>210116.40065831703</v>
      </c>
      <c r="CE106" s="560">
        <v>25497.057355583573</v>
      </c>
      <c r="CG106" s="594">
        <v>1273</v>
      </c>
      <c r="CH106" s="595" t="e">
        <v>#DIV/0!</v>
      </c>
      <c r="CI106" s="595" t="e">
        <v>#DIV/0!</v>
      </c>
      <c r="CJ106" s="544"/>
      <c r="CL106" s="545">
        <v>10144</v>
      </c>
      <c r="CM106" s="596">
        <v>2</v>
      </c>
      <c r="CN106" s="595">
        <v>20288</v>
      </c>
      <c r="CO106" s="583">
        <v>28021.789952033625</v>
      </c>
      <c r="CS106" s="597"/>
      <c r="CT106" s="597"/>
      <c r="CU106" s="597"/>
      <c r="CV106" s="597"/>
      <c r="CW106" s="583">
        <v>0</v>
      </c>
      <c r="CX106" s="583">
        <v>0</v>
      </c>
      <c r="CY106" s="598"/>
      <c r="CZ106" s="583">
        <v>0</v>
      </c>
      <c r="DA106" s="506">
        <v>19510.8</v>
      </c>
      <c r="DB106" s="548">
        <v>22071500</v>
      </c>
      <c r="DC106" s="594">
        <v>220.715</v>
      </c>
      <c r="DD106" s="581">
        <v>42144.43</v>
      </c>
      <c r="DF106" s="594">
        <v>1</v>
      </c>
      <c r="DG106" s="583">
        <v>349775.30324456643</v>
      </c>
      <c r="DH106" s="599"/>
      <c r="DI106" s="600">
        <v>0</v>
      </c>
      <c r="DJ106" s="601"/>
      <c r="DK106" s="602"/>
      <c r="DN106" s="603"/>
      <c r="DO106" s="604">
        <v>1</v>
      </c>
      <c r="DP106" s="583">
        <v>6660.2919964202219</v>
      </c>
      <c r="DR106" s="613"/>
      <c r="DS106" s="571">
        <v>0</v>
      </c>
      <c r="DT106" s="541">
        <v>0</v>
      </c>
      <c r="DU106" s="593">
        <v>0</v>
      </c>
      <c r="DV106" s="605">
        <v>0</v>
      </c>
      <c r="DW106" s="506">
        <v>0</v>
      </c>
      <c r="DX106" s="606"/>
      <c r="DY106" s="512">
        <v>5020.383820547946</v>
      </c>
      <c r="DZ106" s="583">
        <v>5643137.7699090522</v>
      </c>
      <c r="EA106" s="513">
        <v>0</v>
      </c>
      <c r="EB106" s="514">
        <v>5948</v>
      </c>
      <c r="EC106" s="514">
        <v>0</v>
      </c>
      <c r="ED106" s="514">
        <v>0</v>
      </c>
      <c r="EE106" s="607"/>
      <c r="EF106" s="583">
        <v>5649085.7699090522</v>
      </c>
      <c r="EG106" s="583">
        <v>5629574.9699090524</v>
      </c>
      <c r="EH106" s="608"/>
      <c r="EI106" s="609"/>
      <c r="EJ106" s="583">
        <v>5638117.3860885045</v>
      </c>
      <c r="EL106" s="585"/>
      <c r="EM106" s="518">
        <v>5649085.7699090522</v>
      </c>
      <c r="EN106" s="518">
        <v>0</v>
      </c>
      <c r="EO106" s="518">
        <v>0</v>
      </c>
      <c r="EP106" s="518">
        <v>0</v>
      </c>
      <c r="EQ106" s="518">
        <v>-2913.2462071647715</v>
      </c>
      <c r="ER106" s="518">
        <v>0</v>
      </c>
      <c r="ES106" s="518">
        <v>-5948</v>
      </c>
      <c r="ET106" s="518">
        <v>0</v>
      </c>
      <c r="EU106" s="518">
        <v>0</v>
      </c>
      <c r="EV106" s="518">
        <v>0</v>
      </c>
      <c r="EW106" s="518">
        <v>0</v>
      </c>
      <c r="EX106" s="518">
        <v>0</v>
      </c>
      <c r="EY106" s="518">
        <v>0</v>
      </c>
      <c r="EZ106" s="518">
        <v>5640224.5237018876</v>
      </c>
      <c r="FB106" s="518">
        <v>0</v>
      </c>
      <c r="FC106" s="518">
        <v>-2913.2462071647715</v>
      </c>
      <c r="FF106" s="518">
        <v>5074345.2809626712</v>
      </c>
      <c r="FI106" s="488">
        <v>4402.9855766603341</v>
      </c>
      <c r="FK106" s="488">
        <v>1281</v>
      </c>
      <c r="FL106" s="488">
        <v>0</v>
      </c>
      <c r="FM106" s="488">
        <v>1281</v>
      </c>
    </row>
    <row r="107" spans="1:169" s="488" customFormat="1" x14ac:dyDescent="0.2">
      <c r="A107" s="489" t="s">
        <v>332</v>
      </c>
      <c r="B107" s="489" t="s">
        <v>895</v>
      </c>
      <c r="C107" s="489">
        <v>5414</v>
      </c>
      <c r="D107" s="488" t="s">
        <v>221</v>
      </c>
      <c r="E107" s="528">
        <v>178</v>
      </c>
      <c r="F107" s="529">
        <v>0</v>
      </c>
      <c r="G107" s="564">
        <v>0</v>
      </c>
      <c r="H107" s="528">
        <v>409</v>
      </c>
      <c r="I107" s="529">
        <v>936.81450000000007</v>
      </c>
      <c r="J107" s="528">
        <v>1549969.2624025117</v>
      </c>
      <c r="K107" s="528">
        <v>619</v>
      </c>
      <c r="L107" s="529">
        <v>1244.4994999999999</v>
      </c>
      <c r="M107" s="528">
        <v>2059037.2715999745</v>
      </c>
      <c r="N107" s="500"/>
      <c r="O107" s="500"/>
      <c r="P107" s="500"/>
      <c r="Q107" s="500"/>
      <c r="R107" s="500"/>
      <c r="S107" s="500"/>
      <c r="T107" s="500"/>
      <c r="U107" s="500"/>
      <c r="V107" s="500"/>
      <c r="W107" s="491"/>
      <c r="X107" s="493"/>
      <c r="Y107" s="492"/>
      <c r="Z107" s="529">
        <v>1206</v>
      </c>
      <c r="AA107" s="529">
        <v>2181.3139999999999</v>
      </c>
      <c r="AB107" s="530">
        <v>3609006</v>
      </c>
      <c r="AC107" s="492"/>
      <c r="AD107" s="492"/>
      <c r="AE107" s="492"/>
      <c r="AF107" s="492"/>
      <c r="AG107" s="492"/>
      <c r="AH107" s="492"/>
      <c r="AI107" s="554">
        <v>224939.30129131494</v>
      </c>
      <c r="AJ107" s="530">
        <v>1206</v>
      </c>
      <c r="AK107" s="565">
        <v>20869.143706025676</v>
      </c>
      <c r="AL107" s="565">
        <v>37291.949999999997</v>
      </c>
      <c r="AM107" s="534"/>
      <c r="AN107" s="565">
        <v>0</v>
      </c>
      <c r="AO107" s="535">
        <v>383.2</v>
      </c>
      <c r="AP107" s="530">
        <v>14743.642309194236</v>
      </c>
      <c r="AQ107" s="566"/>
      <c r="AR107" s="490"/>
      <c r="AS107" s="490"/>
      <c r="AT107" s="536">
        <v>15</v>
      </c>
      <c r="AU107" s="536">
        <v>15</v>
      </c>
      <c r="AV107" s="542">
        <v>15</v>
      </c>
      <c r="AW107" s="565">
        <v>8739.7386214943144</v>
      </c>
      <c r="AX107" s="497"/>
      <c r="AY107" s="285">
        <v>0</v>
      </c>
      <c r="AZ107" s="567"/>
      <c r="BA107" s="499"/>
      <c r="BB107" s="528">
        <v>14</v>
      </c>
      <c r="BC107" s="528">
        <v>10664.233432245301</v>
      </c>
      <c r="BD107" s="528">
        <v>21</v>
      </c>
      <c r="BE107" s="565">
        <v>27365.164874186161</v>
      </c>
      <c r="BF107" s="535">
        <v>1187</v>
      </c>
      <c r="BG107" s="535">
        <v>82</v>
      </c>
      <c r="BH107" s="535">
        <v>1180</v>
      </c>
      <c r="BI107" s="535">
        <v>66</v>
      </c>
      <c r="BJ107" s="536">
        <v>1206</v>
      </c>
      <c r="BK107" s="536">
        <v>89</v>
      </c>
      <c r="BL107" s="541">
        <v>1191</v>
      </c>
      <c r="BM107" s="541">
        <v>79</v>
      </c>
      <c r="BN107" s="542">
        <v>6.63</v>
      </c>
      <c r="BO107" s="529">
        <v>79.959999999999994</v>
      </c>
      <c r="BP107" s="528">
        <v>102366.83202349031</v>
      </c>
      <c r="BQ107" s="536">
        <v>50</v>
      </c>
      <c r="BR107" s="565">
        <v>10299.398656239298</v>
      </c>
      <c r="BS107" s="536">
        <v>57</v>
      </c>
      <c r="BT107" s="530">
        <v>11551.522637934742</v>
      </c>
      <c r="BU107" s="530">
        <v>551</v>
      </c>
      <c r="BV107" s="530">
        <v>93893.119534911311</v>
      </c>
      <c r="BW107" s="536">
        <v>17</v>
      </c>
      <c r="BX107" s="565">
        <v>28177.275713772469</v>
      </c>
      <c r="BY107" s="490"/>
      <c r="BZ107" s="515">
        <v>8.0409538768073734</v>
      </c>
      <c r="CA107" s="515">
        <v>2.2081155579477825</v>
      </c>
      <c r="CB107" s="565">
        <v>150.23365101199744</v>
      </c>
      <c r="CC107" s="565">
        <v>131339.67037880898</v>
      </c>
      <c r="CD107" s="490"/>
      <c r="CE107" s="560">
        <v>22873.354819877462</v>
      </c>
      <c r="CF107" s="490"/>
      <c r="CG107" s="543">
        <v>1206</v>
      </c>
      <c r="CH107" s="532" t="e">
        <v>#DIV/0!</v>
      </c>
      <c r="CI107" s="532" t="e">
        <v>#DIV/0!</v>
      </c>
      <c r="CJ107" s="544"/>
      <c r="CK107" s="490"/>
      <c r="CL107" s="545">
        <v>10620</v>
      </c>
      <c r="CM107" s="546">
        <v>3</v>
      </c>
      <c r="CN107" s="532">
        <v>31860</v>
      </c>
      <c r="CO107" s="565">
        <v>44005.038834374573</v>
      </c>
      <c r="CP107" s="490"/>
      <c r="CQ107" s="490"/>
      <c r="CR107" s="490"/>
      <c r="CS107" s="504"/>
      <c r="CT107" s="504"/>
      <c r="CU107" s="504"/>
      <c r="CV107" s="504"/>
      <c r="CW107" s="565">
        <v>0</v>
      </c>
      <c r="CX107" s="565">
        <v>0</v>
      </c>
      <c r="CY107" s="547"/>
      <c r="CZ107" s="565">
        <v>0</v>
      </c>
      <c r="DA107" s="506">
        <v>22625.200000000001</v>
      </c>
      <c r="DB107" s="548">
        <v>26928000</v>
      </c>
      <c r="DC107" s="537">
        <v>269.27999999999997</v>
      </c>
      <c r="DD107" s="530">
        <v>51417.68</v>
      </c>
      <c r="DE107" s="490"/>
      <c r="DF107" s="537">
        <v>1</v>
      </c>
      <c r="DG107" s="565">
        <v>349775.30324456643</v>
      </c>
      <c r="DH107" s="568"/>
      <c r="DI107" s="569">
        <v>0</v>
      </c>
      <c r="DJ107" s="551"/>
      <c r="DK107" s="552"/>
      <c r="DL107" s="282"/>
      <c r="DM107" s="490"/>
      <c r="DN107" s="509"/>
      <c r="DO107" s="570">
        <v>1</v>
      </c>
      <c r="DP107" s="565">
        <v>6309.7503123981051</v>
      </c>
      <c r="DQ107" s="282"/>
      <c r="DR107" s="510"/>
      <c r="DS107" s="571">
        <v>13964</v>
      </c>
      <c r="DT107" s="541">
        <v>0</v>
      </c>
      <c r="DU107" s="541">
        <v>0</v>
      </c>
      <c r="DV107" s="560">
        <v>0</v>
      </c>
      <c r="DW107" s="506">
        <v>-98939.106889208822</v>
      </c>
      <c r="DX107" s="511"/>
      <c r="DY107" s="512">
        <v>5105.2015000000001</v>
      </c>
      <c r="DZ107" s="513">
        <v>4748383.4150016261</v>
      </c>
      <c r="EA107" s="513">
        <v>0</v>
      </c>
      <c r="EB107" s="514">
        <v>-3398</v>
      </c>
      <c r="EC107" s="514">
        <v>0</v>
      </c>
      <c r="ED107" s="514">
        <v>0</v>
      </c>
      <c r="EE107" s="494"/>
      <c r="EF107" s="513">
        <v>4744985.4150016261</v>
      </c>
      <c r="EG107" s="513">
        <v>4722360.2150016259</v>
      </c>
      <c r="EH107" s="515">
        <v>1206</v>
      </c>
      <c r="EI107" s="516">
        <v>72809.743641934649</v>
      </c>
      <c r="EJ107" s="513">
        <v>4842217.3203908345</v>
      </c>
      <c r="EL107" s="518"/>
      <c r="EM107" s="518">
        <v>4744985.4150016261</v>
      </c>
      <c r="EN107" s="518">
        <v>0</v>
      </c>
      <c r="EO107" s="518">
        <v>0</v>
      </c>
      <c r="EP107" s="518">
        <v>0</v>
      </c>
      <c r="EQ107" s="518">
        <v>-8739.7386214943144</v>
      </c>
      <c r="ER107" s="518">
        <v>0</v>
      </c>
      <c r="ES107" s="518">
        <v>3398</v>
      </c>
      <c r="ET107" s="518">
        <v>-224939.30129131494</v>
      </c>
      <c r="EU107" s="518">
        <v>0</v>
      </c>
      <c r="EV107" s="518">
        <v>0</v>
      </c>
      <c r="EW107" s="518">
        <v>-13964</v>
      </c>
      <c r="EX107" s="518">
        <v>0</v>
      </c>
      <c r="EY107" s="518">
        <v>-34653.718746903047</v>
      </c>
      <c r="EZ107" s="518">
        <v>4466086.6563419132</v>
      </c>
      <c r="FB107" s="518">
        <v>0</v>
      </c>
      <c r="FC107" s="518">
        <v>-233679.03991280927</v>
      </c>
      <c r="FF107" s="518">
        <v>4014929.6348717432</v>
      </c>
      <c r="FI107" s="488">
        <v>4395.7545830136942</v>
      </c>
      <c r="FK107" s="488">
        <v>1026</v>
      </c>
      <c r="FL107" s="488">
        <v>10</v>
      </c>
      <c r="FM107" s="488">
        <v>1016</v>
      </c>
    </row>
    <row r="108" spans="1:169" s="490" customFormat="1" x14ac:dyDescent="0.2">
      <c r="A108" s="557"/>
      <c r="B108" s="566"/>
      <c r="C108" s="557"/>
      <c r="W108" s="491"/>
      <c r="X108" s="493"/>
      <c r="Y108" s="492"/>
      <c r="Z108" s="491"/>
      <c r="AA108" s="493"/>
      <c r="AB108" s="492"/>
      <c r="AC108" s="492"/>
      <c r="AD108" s="492"/>
      <c r="AE108" s="492"/>
      <c r="AF108" s="492"/>
      <c r="AG108" s="492"/>
      <c r="AH108" s="492"/>
      <c r="AI108" s="494"/>
      <c r="AJ108" s="493"/>
      <c r="AK108" s="492"/>
      <c r="AL108" s="492"/>
      <c r="AM108" s="614"/>
      <c r="AN108" s="492"/>
      <c r="AO108" s="282"/>
      <c r="AP108" s="492"/>
      <c r="AQ108" s="492"/>
      <c r="AR108" s="526"/>
      <c r="AT108" s="496"/>
      <c r="AU108" s="615"/>
      <c r="AV108" s="496"/>
      <c r="AW108" s="496"/>
      <c r="AX108" s="496"/>
      <c r="AY108" s="517"/>
      <c r="AZ108" s="567"/>
      <c r="BA108" s="499"/>
      <c r="BB108" s="500"/>
      <c r="BC108" s="500"/>
      <c r="BD108" s="567"/>
      <c r="BE108" s="496"/>
      <c r="BF108" s="567"/>
      <c r="BG108" s="567"/>
      <c r="BH108" s="567"/>
      <c r="BI108" s="567"/>
      <c r="BJ108" s="567"/>
      <c r="BK108" s="567"/>
      <c r="BL108" s="502"/>
      <c r="BM108" s="502"/>
      <c r="BN108" s="491"/>
      <c r="BO108" s="500"/>
      <c r="BP108" s="500"/>
      <c r="BQ108" s="567"/>
      <c r="BR108" s="492"/>
      <c r="BS108" s="492"/>
      <c r="BT108" s="492"/>
      <c r="BU108" s="492"/>
      <c r="BV108" s="492"/>
      <c r="BW108" s="567"/>
      <c r="BX108" s="492"/>
      <c r="CG108" s="503"/>
      <c r="CH108" s="493"/>
      <c r="CI108" s="493"/>
      <c r="CJ108" s="492"/>
      <c r="CL108" s="616"/>
      <c r="CM108" s="492"/>
      <c r="CN108" s="493"/>
      <c r="CO108" s="492"/>
      <c r="CS108" s="504"/>
      <c r="CT108" s="504"/>
      <c r="CU108" s="504"/>
      <c r="CV108" s="504"/>
      <c r="CW108" s="504"/>
      <c r="CX108" s="504"/>
      <c r="CY108" s="491"/>
      <c r="CZ108" s="492"/>
      <c r="DA108" s="491"/>
      <c r="DB108" s="617">
        <v>187728445</v>
      </c>
      <c r="DC108" s="491"/>
      <c r="DD108" s="492"/>
      <c r="DF108" s="491"/>
      <c r="DG108" s="504"/>
      <c r="DH108" s="492"/>
      <c r="DI108" s="492"/>
      <c r="DJ108" s="491"/>
      <c r="DK108" s="491"/>
      <c r="DN108" s="526"/>
      <c r="DO108" s="492"/>
      <c r="DP108" s="492"/>
      <c r="DQ108" s="618"/>
      <c r="DR108" s="619"/>
      <c r="DT108" s="502"/>
      <c r="DU108" s="501"/>
      <c r="EA108" s="526"/>
      <c r="EB108" s="620"/>
      <c r="EC108" s="620"/>
      <c r="ED108" s="621"/>
      <c r="EE108" s="494"/>
      <c r="EH108" s="496"/>
      <c r="EI108" s="494"/>
      <c r="EJ108" s="526"/>
      <c r="EL108" s="526"/>
      <c r="FM108" s="488"/>
    </row>
    <row r="109" spans="1:169" s="623" customFormat="1" x14ac:dyDescent="0.2">
      <c r="A109" s="622" t="s">
        <v>661</v>
      </c>
      <c r="E109" s="624"/>
      <c r="F109" s="624"/>
      <c r="G109" s="624"/>
      <c r="H109" s="624"/>
      <c r="I109" s="624"/>
      <c r="J109" s="624"/>
      <c r="K109" s="624"/>
      <c r="L109" s="624"/>
      <c r="M109" s="624"/>
      <c r="N109" s="624"/>
      <c r="O109" s="624"/>
      <c r="P109" s="624"/>
      <c r="Q109" s="624"/>
      <c r="R109" s="624"/>
      <c r="S109" s="624"/>
      <c r="T109" s="624"/>
      <c r="U109" s="624"/>
      <c r="V109" s="624"/>
      <c r="W109" s="624"/>
      <c r="X109" s="624"/>
      <c r="Y109" s="624"/>
      <c r="Z109" s="624">
        <v>35030</v>
      </c>
      <c r="AA109" s="624">
        <v>59914.616200000011</v>
      </c>
      <c r="AB109" s="625">
        <v>98919544</v>
      </c>
      <c r="AC109" s="624"/>
      <c r="AD109" s="624"/>
      <c r="AE109" s="624"/>
      <c r="AF109" s="624"/>
      <c r="AG109" s="624"/>
      <c r="AH109" s="624"/>
      <c r="AI109" s="625">
        <v>3696520.6000771984</v>
      </c>
      <c r="AJ109" s="624"/>
      <c r="AK109" s="625">
        <v>171037.00049471023</v>
      </c>
      <c r="AL109" s="625">
        <v>870432.17</v>
      </c>
      <c r="AM109" s="624"/>
      <c r="AN109" s="625">
        <v>0</v>
      </c>
      <c r="AO109" s="624"/>
      <c r="AP109" s="625">
        <v>421492.33902689832</v>
      </c>
      <c r="AQ109" s="624"/>
      <c r="AR109" s="625">
        <v>1338156.0566722197</v>
      </c>
      <c r="AS109" s="624"/>
      <c r="AT109" s="624"/>
      <c r="AU109" s="624"/>
      <c r="AV109" s="625">
        <v>1499.5833333333333</v>
      </c>
      <c r="AW109" s="625">
        <v>892233.55864896276</v>
      </c>
      <c r="AX109" s="625">
        <v>120</v>
      </c>
      <c r="AY109" s="625">
        <v>72077.730024498669</v>
      </c>
      <c r="AZ109" s="624"/>
      <c r="BA109" s="624"/>
      <c r="BB109" s="625">
        <v>1011</v>
      </c>
      <c r="BC109" s="625">
        <v>770110</v>
      </c>
      <c r="BD109" s="625">
        <v>1711</v>
      </c>
      <c r="BE109" s="625">
        <v>1014092.0501680145</v>
      </c>
      <c r="BF109" s="624"/>
      <c r="BG109" s="624"/>
      <c r="BH109" s="624"/>
      <c r="BI109" s="624"/>
      <c r="BJ109" s="624"/>
      <c r="BK109" s="624"/>
      <c r="BL109" s="624"/>
      <c r="BM109" s="624"/>
      <c r="BN109" s="624"/>
      <c r="BO109" s="625">
        <v>6878.9800000000014</v>
      </c>
      <c r="BP109" s="625">
        <v>9682616.541591756</v>
      </c>
      <c r="BQ109" s="625">
        <v>6602</v>
      </c>
      <c r="BR109" s="625">
        <v>1340297.8117594249</v>
      </c>
      <c r="BS109" s="625">
        <v>6349</v>
      </c>
      <c r="BT109" s="625">
        <v>1284364.1660886169</v>
      </c>
      <c r="BU109" s="625">
        <v>44301</v>
      </c>
      <c r="BV109" s="625">
        <v>9112772</v>
      </c>
      <c r="BW109" s="625">
        <v>1040</v>
      </c>
      <c r="BX109" s="625">
        <v>1218923.5683380733</v>
      </c>
      <c r="BY109" s="624"/>
      <c r="BZ109" s="624"/>
      <c r="CA109" s="624"/>
      <c r="CB109" s="625">
        <v>4180.3304070286722</v>
      </c>
      <c r="CC109" s="625">
        <v>3654595.4520522989</v>
      </c>
      <c r="CD109" s="624"/>
      <c r="CE109" s="626">
        <v>363630</v>
      </c>
      <c r="CF109" s="624"/>
      <c r="CG109" s="624"/>
      <c r="CH109" s="624"/>
      <c r="CI109" s="624"/>
      <c r="CJ109" s="625">
        <v>0</v>
      </c>
      <c r="CK109" s="624"/>
      <c r="CL109" s="624"/>
      <c r="CM109" s="624"/>
      <c r="CN109" s="624"/>
      <c r="CO109" s="625">
        <v>848078.69262593635</v>
      </c>
      <c r="CP109" s="624"/>
      <c r="CQ109" s="624"/>
      <c r="CR109" s="625">
        <v>0</v>
      </c>
      <c r="CS109" s="624"/>
      <c r="CT109" s="624"/>
      <c r="CU109" s="624"/>
      <c r="CV109" s="624"/>
      <c r="CW109" s="624"/>
      <c r="CX109" s="625">
        <v>27384.055530732978</v>
      </c>
      <c r="CZ109" s="625">
        <v>0</v>
      </c>
      <c r="DA109" s="626">
        <v>1537367.41</v>
      </c>
      <c r="DB109" s="624"/>
      <c r="DC109" s="624"/>
      <c r="DD109" s="625">
        <v>358458.15</v>
      </c>
      <c r="DE109" s="624"/>
      <c r="DF109" s="624"/>
      <c r="DG109" s="625">
        <v>9638857.5435393676</v>
      </c>
      <c r="DH109" s="624"/>
      <c r="DI109" s="625">
        <v>0</v>
      </c>
      <c r="DJ109" s="625">
        <v>0</v>
      </c>
      <c r="DK109" s="625">
        <v>0</v>
      </c>
      <c r="DL109" s="625">
        <v>587589.42528291629</v>
      </c>
      <c r="DM109" s="625">
        <v>72513</v>
      </c>
      <c r="DN109" s="625">
        <v>50936.109413244609</v>
      </c>
      <c r="DO109" s="624"/>
      <c r="DP109" s="625">
        <v>85881.552790125585</v>
      </c>
      <c r="DQ109" s="625">
        <v>0</v>
      </c>
      <c r="DR109" s="625">
        <v>0</v>
      </c>
      <c r="DS109" s="625">
        <v>126501</v>
      </c>
      <c r="DT109" s="624"/>
      <c r="DU109" s="625">
        <v>108895.07166036069</v>
      </c>
      <c r="DV109" s="625">
        <v>4440244.333333334</v>
      </c>
      <c r="DW109" s="625">
        <v>-1197821.6682574197</v>
      </c>
      <c r="DX109" s="627">
        <v>7246357.5620153509</v>
      </c>
      <c r="DY109" s="627">
        <v>166834.89592068491</v>
      </c>
      <c r="DZ109" s="624"/>
      <c r="EA109" s="625">
        <v>1409356.0770543371</v>
      </c>
      <c r="EB109" s="625">
        <v>374524</v>
      </c>
      <c r="EC109" s="625">
        <v>35305</v>
      </c>
      <c r="ED109" s="625">
        <v>-34918.40675115784</v>
      </c>
      <c r="EE109" s="625">
        <v>160705238.84910053</v>
      </c>
      <c r="EF109" s="625">
        <v>160705238.8491005</v>
      </c>
      <c r="EG109" s="625">
        <v>159167871.43910047</v>
      </c>
      <c r="EH109" s="625">
        <v>33757</v>
      </c>
      <c r="EI109" s="625">
        <v>1668967.7861078731</v>
      </c>
      <c r="EJ109" s="624"/>
      <c r="EL109" s="628"/>
      <c r="EM109" s="623">
        <v>160705238.8491005</v>
      </c>
      <c r="EN109" s="623">
        <v>-7608202.3760621464</v>
      </c>
      <c r="EO109" s="623">
        <v>95834.351361229827</v>
      </c>
      <c r="EP109" s="623">
        <v>-77519.66564182812</v>
      </c>
      <c r="EQ109" s="623">
        <v>-892233.55864896276</v>
      </c>
      <c r="ER109" s="623">
        <v>-72077.730024498669</v>
      </c>
      <c r="ES109" s="623">
        <v>-355878</v>
      </c>
      <c r="ET109" s="623">
        <v>-3696520.6000771984</v>
      </c>
      <c r="EU109" s="623">
        <v>-35305</v>
      </c>
      <c r="EV109" s="623">
        <v>-4440244.333333334</v>
      </c>
      <c r="EW109" s="623">
        <v>-126501</v>
      </c>
      <c r="EX109" s="623">
        <v>-1338156.0566722197</v>
      </c>
      <c r="EY109" s="623">
        <v>-611333.6554485067</v>
      </c>
      <c r="EZ109" s="623">
        <v>141547101.22455302</v>
      </c>
      <c r="FB109" s="623">
        <v>7571241.6903427439</v>
      </c>
      <c r="FC109" s="623">
        <v>-4642185.8887506584</v>
      </c>
      <c r="FD109" s="623">
        <v>0</v>
      </c>
      <c r="FE109" s="623">
        <v>0</v>
      </c>
      <c r="FF109" s="623">
        <v>125257265.99819204</v>
      </c>
      <c r="FI109" s="623">
        <v>347912.12769580015</v>
      </c>
      <c r="FK109" s="623">
        <v>33330</v>
      </c>
      <c r="FL109" s="623">
        <v>218</v>
      </c>
      <c r="FM109" s="623">
        <v>33112</v>
      </c>
    </row>
    <row r="110" spans="1:169" s="277" customFormat="1" x14ac:dyDescent="0.2">
      <c r="A110" s="629" t="s">
        <v>896</v>
      </c>
      <c r="E110" s="283"/>
      <c r="F110" s="283"/>
      <c r="G110" s="514">
        <v>0</v>
      </c>
      <c r="H110" s="283">
        <v>0</v>
      </c>
      <c r="I110" s="283">
        <v>0</v>
      </c>
      <c r="J110" s="514">
        <v>0</v>
      </c>
      <c r="K110" s="283"/>
      <c r="L110" s="283"/>
      <c r="M110" s="514">
        <v>0</v>
      </c>
      <c r="N110" s="283"/>
      <c r="O110" s="283"/>
      <c r="P110" s="514">
        <v>0</v>
      </c>
      <c r="Q110" s="283"/>
      <c r="R110" s="283"/>
      <c r="S110" s="514">
        <v>0</v>
      </c>
      <c r="T110" s="283"/>
      <c r="U110" s="283"/>
      <c r="V110" s="514">
        <v>0</v>
      </c>
      <c r="W110" s="283"/>
      <c r="X110" s="283"/>
      <c r="Y110" s="514">
        <v>0</v>
      </c>
      <c r="Z110" s="283"/>
      <c r="AA110" s="283"/>
      <c r="AB110" s="514">
        <v>0</v>
      </c>
      <c r="AC110" s="283"/>
      <c r="AD110" s="283"/>
      <c r="AE110" s="283"/>
      <c r="AF110" s="283"/>
      <c r="AG110" s="283"/>
      <c r="AH110" s="283"/>
      <c r="AI110" s="514">
        <v>0</v>
      </c>
      <c r="AJ110" s="283"/>
      <c r="AK110" s="514">
        <v>0</v>
      </c>
      <c r="AL110" s="514">
        <v>0</v>
      </c>
      <c r="AM110" s="283"/>
      <c r="AN110" s="514">
        <v>0</v>
      </c>
      <c r="AO110" s="283"/>
      <c r="AP110" s="514">
        <v>0</v>
      </c>
      <c r="AQ110" s="283"/>
      <c r="AR110" s="514">
        <v>0</v>
      </c>
      <c r="AS110" s="283"/>
      <c r="AT110" s="283"/>
      <c r="AU110" s="283"/>
      <c r="AV110" s="283"/>
      <c r="AW110" s="514">
        <v>0</v>
      </c>
      <c r="AX110" s="283"/>
      <c r="AY110" s="514">
        <v>0</v>
      </c>
      <c r="AZ110" s="283"/>
      <c r="BA110" s="283"/>
      <c r="BB110" s="283"/>
      <c r="BC110" s="514">
        <v>0</v>
      </c>
      <c r="BD110" s="283"/>
      <c r="BE110" s="514">
        <v>0</v>
      </c>
      <c r="BF110" s="283"/>
      <c r="BG110" s="283"/>
      <c r="BH110" s="283"/>
      <c r="BI110" s="283"/>
      <c r="BJ110" s="283"/>
      <c r="BK110" s="283"/>
      <c r="BL110" s="283"/>
      <c r="BM110" s="283"/>
      <c r="BN110" s="283"/>
      <c r="BO110" s="283"/>
      <c r="BP110" s="514">
        <v>0</v>
      </c>
      <c r="BQ110" s="283"/>
      <c r="BR110" s="514">
        <v>0</v>
      </c>
      <c r="BS110" s="283"/>
      <c r="BT110" s="514">
        <v>0</v>
      </c>
      <c r="BU110" s="283"/>
      <c r="BV110" s="514">
        <v>0</v>
      </c>
      <c r="BW110" s="283"/>
      <c r="BX110" s="514">
        <v>0</v>
      </c>
      <c r="BY110" s="283"/>
      <c r="BZ110" s="283"/>
      <c r="CA110" s="283"/>
      <c r="CB110" s="283"/>
      <c r="CC110" s="514">
        <v>0</v>
      </c>
      <c r="CD110" s="283"/>
      <c r="CE110" s="514">
        <v>0</v>
      </c>
      <c r="CF110" s="283"/>
      <c r="CG110" s="283"/>
      <c r="CH110" s="283"/>
      <c r="CI110" s="283"/>
      <c r="CJ110" s="514">
        <v>0</v>
      </c>
      <c r="CK110" s="283"/>
      <c r="CL110" s="283"/>
      <c r="CM110" s="283"/>
      <c r="CN110" s="283"/>
      <c r="CO110" s="514">
        <v>0</v>
      </c>
      <c r="CP110" s="283"/>
      <c r="CQ110" s="283"/>
      <c r="CR110" s="514">
        <v>0</v>
      </c>
      <c r="CS110" s="283"/>
      <c r="CT110" s="283"/>
      <c r="CU110" s="283"/>
      <c r="CV110" s="283"/>
      <c r="CW110" s="283"/>
      <c r="CX110" s="514">
        <v>0</v>
      </c>
      <c r="CZ110" s="514">
        <v>0</v>
      </c>
      <c r="DA110" s="514">
        <v>32073.47</v>
      </c>
      <c r="DB110" s="283"/>
      <c r="DC110" s="283"/>
      <c r="DD110" s="514">
        <v>0</v>
      </c>
      <c r="DE110" s="283"/>
      <c r="DF110" s="283"/>
      <c r="DG110" s="514">
        <v>0</v>
      </c>
      <c r="DH110" s="283"/>
      <c r="DI110" s="514">
        <v>0</v>
      </c>
      <c r="DJ110" s="514">
        <v>0</v>
      </c>
      <c r="DK110" s="514">
        <v>0</v>
      </c>
      <c r="DL110" s="514">
        <v>0</v>
      </c>
      <c r="DM110" s="514">
        <v>0</v>
      </c>
      <c r="DN110" s="514">
        <v>0</v>
      </c>
      <c r="DO110" s="283"/>
      <c r="DP110" s="514">
        <v>0</v>
      </c>
      <c r="DQ110" s="514">
        <v>0</v>
      </c>
      <c r="DR110" s="514">
        <v>0</v>
      </c>
      <c r="DS110" s="514">
        <v>0</v>
      </c>
      <c r="DT110" s="283"/>
      <c r="DU110" s="514">
        <v>0</v>
      </c>
      <c r="DV110" s="514">
        <v>0</v>
      </c>
      <c r="DW110" s="514">
        <v>0</v>
      </c>
      <c r="DX110" s="630">
        <v>2696944.4840153516</v>
      </c>
      <c r="DY110" s="630">
        <v>8840.6951250000002</v>
      </c>
      <c r="DZ110" s="283"/>
      <c r="EA110" s="514">
        <v>241368.7043117237</v>
      </c>
      <c r="EB110" s="514">
        <v>18646</v>
      </c>
      <c r="EC110" s="514">
        <v>0</v>
      </c>
      <c r="ED110" s="514">
        <v>60915.94461007198</v>
      </c>
      <c r="EE110" s="516">
        <v>3058789.2980621476</v>
      </c>
      <c r="EF110" s="514">
        <v>3058789.2980621476</v>
      </c>
      <c r="EG110" s="283"/>
      <c r="EH110" s="283"/>
      <c r="EI110" s="514">
        <v>0</v>
      </c>
      <c r="EJ110" s="283"/>
      <c r="EL110" s="628"/>
      <c r="EM110" s="277">
        <v>3058789.2980621476</v>
      </c>
      <c r="FM110" s="488"/>
    </row>
    <row r="111" spans="1:169" s="277" customFormat="1" x14ac:dyDescent="0.2">
      <c r="A111" s="629" t="s">
        <v>897</v>
      </c>
      <c r="E111" s="283"/>
      <c r="F111" s="283"/>
      <c r="G111" s="514">
        <v>0</v>
      </c>
      <c r="H111" s="283"/>
      <c r="I111" s="283"/>
      <c r="J111" s="514">
        <v>0</v>
      </c>
      <c r="K111" s="283"/>
      <c r="L111" s="283"/>
      <c r="M111" s="514">
        <v>0</v>
      </c>
      <c r="N111" s="283"/>
      <c r="O111" s="283"/>
      <c r="P111" s="514">
        <v>28431908.423389647</v>
      </c>
      <c r="Q111" s="283"/>
      <c r="R111" s="283"/>
      <c r="S111" s="514">
        <v>14422639.422419159</v>
      </c>
      <c r="T111" s="283"/>
      <c r="U111" s="283"/>
      <c r="V111" s="514">
        <v>8932533.6455585957</v>
      </c>
      <c r="W111" s="283"/>
      <c r="X111" s="283"/>
      <c r="Y111" s="514">
        <v>0</v>
      </c>
      <c r="Z111" s="283"/>
      <c r="AA111" s="283"/>
      <c r="AB111" s="514">
        <v>51787086</v>
      </c>
      <c r="AC111" s="283"/>
      <c r="AD111" s="283"/>
      <c r="AE111" s="283"/>
      <c r="AF111" s="283"/>
      <c r="AG111" s="283"/>
      <c r="AH111" s="283"/>
      <c r="AI111" s="514">
        <v>2353496.1680272655</v>
      </c>
      <c r="AJ111" s="283"/>
      <c r="AK111" s="514">
        <v>25091.43</v>
      </c>
      <c r="AL111" s="514">
        <v>406447.35999999999</v>
      </c>
      <c r="AM111" s="283"/>
      <c r="AN111" s="514">
        <v>0</v>
      </c>
      <c r="AO111" s="283"/>
      <c r="AP111" s="514">
        <v>224308.30690986104</v>
      </c>
      <c r="AQ111" s="283"/>
      <c r="AR111" s="514">
        <v>1338156.0566722197</v>
      </c>
      <c r="AS111" s="283"/>
      <c r="AT111" s="283"/>
      <c r="AU111" s="283"/>
      <c r="AV111" s="283"/>
      <c r="AW111" s="514">
        <v>617465.88720987225</v>
      </c>
      <c r="AX111" s="283"/>
      <c r="AY111" s="514">
        <v>72077.730024498669</v>
      </c>
      <c r="AZ111" s="283"/>
      <c r="BA111" s="283"/>
      <c r="BB111" s="283"/>
      <c r="BC111" s="514">
        <v>541590.7121661721</v>
      </c>
      <c r="BD111" s="283"/>
      <c r="BE111" s="514">
        <v>406846.01057893096</v>
      </c>
      <c r="BF111" s="283"/>
      <c r="BG111" s="283"/>
      <c r="BH111" s="283"/>
      <c r="BI111" s="283"/>
      <c r="BJ111" s="283"/>
      <c r="BK111" s="283"/>
      <c r="BL111" s="283"/>
      <c r="BM111" s="283"/>
      <c r="BN111" s="283"/>
      <c r="BO111" s="283"/>
      <c r="BP111" s="514">
        <v>6642029.7390771173</v>
      </c>
      <c r="BQ111" s="283"/>
      <c r="BR111" s="514">
        <v>786602.14</v>
      </c>
      <c r="BS111" s="283"/>
      <c r="BT111" s="514">
        <v>815818.19523063244</v>
      </c>
      <c r="BU111" s="283"/>
      <c r="BV111" s="514">
        <v>6240256</v>
      </c>
      <c r="BW111" s="283"/>
      <c r="BX111" s="514">
        <v>539353.97759414907</v>
      </c>
      <c r="BY111" s="283"/>
      <c r="BZ111" s="283"/>
      <c r="CA111" s="283"/>
      <c r="CB111" s="283"/>
      <c r="CC111" s="514">
        <v>0</v>
      </c>
      <c r="CD111" s="283"/>
      <c r="CE111" s="514">
        <v>0</v>
      </c>
      <c r="CF111" s="283"/>
      <c r="CG111" s="283"/>
      <c r="CH111" s="283"/>
      <c r="CI111" s="283"/>
      <c r="CJ111" s="514">
        <v>0</v>
      </c>
      <c r="CK111" s="283"/>
      <c r="CL111" s="283"/>
      <c r="CM111" s="283"/>
      <c r="CN111" s="283"/>
      <c r="CO111" s="514">
        <v>385040.63</v>
      </c>
      <c r="CP111" s="283"/>
      <c r="CQ111" s="283"/>
      <c r="CR111" s="514">
        <v>0</v>
      </c>
      <c r="CS111" s="283"/>
      <c r="CT111" s="283"/>
      <c r="CU111" s="283"/>
      <c r="CV111" s="283"/>
      <c r="CW111" s="283"/>
      <c r="CX111" s="514">
        <v>0</v>
      </c>
      <c r="CZ111" s="514">
        <v>0</v>
      </c>
      <c r="DA111" s="514">
        <v>1103902.74</v>
      </c>
      <c r="DB111" s="283"/>
      <c r="DC111" s="283"/>
      <c r="DD111" s="514">
        <v>28835.33</v>
      </c>
      <c r="DE111" s="283"/>
      <c r="DF111" s="283"/>
      <c r="DG111" s="514">
        <v>5091778.6013600025</v>
      </c>
      <c r="DH111" s="283"/>
      <c r="DI111" s="514">
        <v>0</v>
      </c>
      <c r="DJ111" s="514">
        <v>0</v>
      </c>
      <c r="DK111" s="514">
        <v>0</v>
      </c>
      <c r="DL111" s="514">
        <v>268838.38087007642</v>
      </c>
      <c r="DM111" s="514">
        <v>0</v>
      </c>
      <c r="DN111" s="514">
        <v>31104.84474307199</v>
      </c>
      <c r="DO111" s="283"/>
      <c r="DP111" s="514">
        <v>15365.122681915256</v>
      </c>
      <c r="DQ111" s="514">
        <v>0</v>
      </c>
      <c r="DR111" s="514">
        <v>0</v>
      </c>
      <c r="DS111" s="514">
        <v>0</v>
      </c>
      <c r="DT111" s="283"/>
      <c r="DU111" s="514">
        <v>32313.418516252677</v>
      </c>
      <c r="DV111" s="514">
        <v>0</v>
      </c>
      <c r="DW111" s="514">
        <v>0</v>
      </c>
      <c r="DX111" s="630">
        <v>4549413.0779999988</v>
      </c>
      <c r="DY111" s="630">
        <v>73232.580740000005</v>
      </c>
      <c r="DZ111" s="283"/>
      <c r="EA111" s="514">
        <v>990722.51514407375</v>
      </c>
      <c r="EB111" s="514">
        <v>292509</v>
      </c>
      <c r="EC111" s="514">
        <v>22184</v>
      </c>
      <c r="ED111" s="514">
        <v>-95834.351361229827</v>
      </c>
      <c r="EE111" s="516">
        <v>85586031.604184881</v>
      </c>
      <c r="EF111" s="514">
        <v>85586031.604184896</v>
      </c>
      <c r="EG111" s="283"/>
      <c r="EH111" s="283"/>
      <c r="EI111" s="514">
        <v>839926.82450667361</v>
      </c>
      <c r="EJ111" s="283"/>
      <c r="EL111" s="628"/>
      <c r="EM111" s="277">
        <v>85586031.604184896</v>
      </c>
      <c r="EN111" s="277">
        <v>-4549413.0779999988</v>
      </c>
      <c r="EO111" s="277">
        <v>95834.351361229827</v>
      </c>
      <c r="EP111" s="277">
        <v>-77519.66564182812</v>
      </c>
      <c r="EQ111" s="277">
        <v>-617465.88720987225</v>
      </c>
      <c r="ER111" s="277">
        <v>-72077.730024498669</v>
      </c>
      <c r="ES111" s="277">
        <v>-292509</v>
      </c>
      <c r="ET111" s="277">
        <v>-2353496.1680272655</v>
      </c>
      <c r="EU111" s="277">
        <v>-22184</v>
      </c>
      <c r="EV111" s="277">
        <v>0</v>
      </c>
      <c r="EW111" s="277">
        <v>0</v>
      </c>
      <c r="EX111" s="277">
        <v>-1338156.0566722197</v>
      </c>
      <c r="EY111" s="277">
        <v>-328081.48789205885</v>
      </c>
      <c r="EZ111" s="277">
        <v>76030962.882078364</v>
      </c>
      <c r="FA111" s="277">
        <v>0</v>
      </c>
      <c r="FB111" s="277">
        <v>4531098.3922805972</v>
      </c>
      <c r="FC111" s="277">
        <v>-3043039.7852616347</v>
      </c>
      <c r="FD111" s="277">
        <v>0</v>
      </c>
      <c r="FE111" s="277">
        <v>0</v>
      </c>
      <c r="FF111" s="277">
        <v>66584597.110035598</v>
      </c>
      <c r="FI111" s="277">
        <v>282419.06766159117</v>
      </c>
      <c r="FK111" s="277">
        <v>19889</v>
      </c>
      <c r="FL111" s="277">
        <v>128</v>
      </c>
      <c r="FM111" s="277">
        <v>19761</v>
      </c>
    </row>
    <row r="112" spans="1:169" s="628" customFormat="1" x14ac:dyDescent="0.2">
      <c r="A112" s="629" t="s">
        <v>898</v>
      </c>
      <c r="E112" s="516">
        <v>1575</v>
      </c>
      <c r="F112" s="494"/>
      <c r="G112" s="516">
        <v>0</v>
      </c>
      <c r="H112" s="494">
        <v>5308</v>
      </c>
      <c r="I112" s="494"/>
      <c r="J112" s="516">
        <v>20115493.508148</v>
      </c>
      <c r="K112" s="494">
        <v>8122</v>
      </c>
      <c r="L112" s="494"/>
      <c r="M112" s="516">
        <v>27016964.006357018</v>
      </c>
      <c r="N112" s="494">
        <v>11066</v>
      </c>
      <c r="O112" s="494"/>
      <c r="P112" s="516">
        <v>0</v>
      </c>
      <c r="Q112" s="494">
        <v>5886</v>
      </c>
      <c r="R112" s="494"/>
      <c r="S112" s="516">
        <v>0</v>
      </c>
      <c r="T112" s="494">
        <v>3073</v>
      </c>
      <c r="U112" s="494"/>
      <c r="V112" s="516">
        <v>0</v>
      </c>
      <c r="W112" s="494"/>
      <c r="X112" s="494"/>
      <c r="Y112" s="516">
        <v>0</v>
      </c>
      <c r="Z112" s="494"/>
      <c r="AA112" s="494"/>
      <c r="AB112" s="516">
        <v>47132458</v>
      </c>
      <c r="AC112" s="494"/>
      <c r="AD112" s="494"/>
      <c r="AE112" s="494"/>
      <c r="AF112" s="494"/>
      <c r="AG112" s="494"/>
      <c r="AH112" s="494"/>
      <c r="AI112" s="516">
        <v>1343024.4320499329</v>
      </c>
      <c r="AJ112" s="494"/>
      <c r="AK112" s="516">
        <v>145945.57049471023</v>
      </c>
      <c r="AL112" s="516">
        <v>463984.81</v>
      </c>
      <c r="AM112" s="494"/>
      <c r="AN112" s="516">
        <v>0</v>
      </c>
      <c r="AO112" s="494"/>
      <c r="AP112" s="516">
        <v>197184.03211703716</v>
      </c>
      <c r="AQ112" s="494"/>
      <c r="AR112" s="516">
        <v>0</v>
      </c>
      <c r="AS112" s="494"/>
      <c r="AT112" s="494"/>
      <c r="AU112" s="494"/>
      <c r="AV112" s="494"/>
      <c r="AW112" s="516">
        <v>274767.67143909069</v>
      </c>
      <c r="AX112" s="494"/>
      <c r="AY112" s="516">
        <v>0</v>
      </c>
      <c r="AZ112" s="494"/>
      <c r="BA112" s="494"/>
      <c r="BB112" s="494"/>
      <c r="BC112" s="516">
        <v>228519.28783382787</v>
      </c>
      <c r="BD112" s="494"/>
      <c r="BE112" s="516">
        <v>607246.0395890834</v>
      </c>
      <c r="BF112" s="494"/>
      <c r="BG112" s="494"/>
      <c r="BH112" s="494"/>
      <c r="BI112" s="494"/>
      <c r="BJ112" s="494"/>
      <c r="BK112" s="494"/>
      <c r="BL112" s="494"/>
      <c r="BM112" s="494"/>
      <c r="BN112" s="494"/>
      <c r="BO112" s="494"/>
      <c r="BP112" s="516">
        <v>3040586.8025146374</v>
      </c>
      <c r="BQ112" s="494"/>
      <c r="BR112" s="516">
        <v>553695.67175942461</v>
      </c>
      <c r="BS112" s="494"/>
      <c r="BT112" s="516">
        <v>468545.97085798468</v>
      </c>
      <c r="BU112" s="494"/>
      <c r="BV112" s="516">
        <v>2872516</v>
      </c>
      <c r="BW112" s="494"/>
      <c r="BX112" s="516">
        <v>679569.59074392426</v>
      </c>
      <c r="BY112" s="494"/>
      <c r="BZ112" s="494"/>
      <c r="CA112" s="494"/>
      <c r="CB112" s="494"/>
      <c r="CC112" s="516">
        <v>3654595.4520522989</v>
      </c>
      <c r="CD112" s="494"/>
      <c r="CE112" s="516">
        <v>363630</v>
      </c>
      <c r="CF112" s="494"/>
      <c r="CG112" s="494"/>
      <c r="CH112" s="494"/>
      <c r="CI112" s="494"/>
      <c r="CJ112" s="516">
        <v>0</v>
      </c>
      <c r="CK112" s="494"/>
      <c r="CL112" s="494"/>
      <c r="CM112" s="494"/>
      <c r="CN112" s="494"/>
      <c r="CO112" s="516">
        <v>463038.06262593629</v>
      </c>
      <c r="CP112" s="494"/>
      <c r="CQ112" s="494"/>
      <c r="CR112" s="516">
        <v>0</v>
      </c>
      <c r="CS112" s="494"/>
      <c r="CT112" s="494"/>
      <c r="CU112" s="494"/>
      <c r="CV112" s="494"/>
      <c r="CW112" s="494"/>
      <c r="CX112" s="516">
        <v>27384.055530732978</v>
      </c>
      <c r="CZ112" s="516">
        <v>0</v>
      </c>
      <c r="DA112" s="516">
        <v>401391.2</v>
      </c>
      <c r="DB112" s="494"/>
      <c r="DC112" s="494"/>
      <c r="DD112" s="516">
        <v>329622.82</v>
      </c>
      <c r="DE112" s="494"/>
      <c r="DF112" s="494"/>
      <c r="DG112" s="516">
        <v>4547078.9421793642</v>
      </c>
      <c r="DH112" s="494"/>
      <c r="DI112" s="516">
        <v>0</v>
      </c>
      <c r="DJ112" s="516">
        <v>0</v>
      </c>
      <c r="DK112" s="516">
        <v>0</v>
      </c>
      <c r="DL112" s="516">
        <v>318751.04441283992</v>
      </c>
      <c r="DM112" s="516">
        <v>72513</v>
      </c>
      <c r="DN112" s="516">
        <v>19831.264670172619</v>
      </c>
      <c r="DO112" s="494"/>
      <c r="DP112" s="516">
        <v>70516.430108210319</v>
      </c>
      <c r="DQ112" s="516">
        <v>0</v>
      </c>
      <c r="DR112" s="516">
        <v>0</v>
      </c>
      <c r="DS112" s="516">
        <v>126501</v>
      </c>
      <c r="DT112" s="494"/>
      <c r="DU112" s="516">
        <v>76581.653144108001</v>
      </c>
      <c r="DV112" s="516">
        <v>4440244.333333334</v>
      </c>
      <c r="DW112" s="516">
        <v>-1197821.6682574197</v>
      </c>
      <c r="DX112" s="631">
        <v>0</v>
      </c>
      <c r="DY112" s="631">
        <v>84761.620055684907</v>
      </c>
      <c r="DZ112" s="494"/>
      <c r="EA112" s="516">
        <v>177264.85759853991</v>
      </c>
      <c r="EB112" s="516">
        <v>63369</v>
      </c>
      <c r="EC112" s="516">
        <v>13121</v>
      </c>
      <c r="ED112" s="516">
        <v>0</v>
      </c>
      <c r="EE112" s="516">
        <v>72060417.946853459</v>
      </c>
      <c r="EF112" s="516">
        <v>72060417.946853459</v>
      </c>
      <c r="EG112" s="494"/>
      <c r="EH112" s="494"/>
      <c r="EI112" s="516">
        <v>829040.96160119958</v>
      </c>
      <c r="EJ112" s="494"/>
      <c r="EM112" s="628">
        <v>72060417.946853459</v>
      </c>
      <c r="EN112" s="628">
        <v>0</v>
      </c>
      <c r="EO112" s="628">
        <v>0</v>
      </c>
      <c r="EP112" s="628">
        <v>0</v>
      </c>
      <c r="EQ112" s="628">
        <v>-274767.67143909069</v>
      </c>
      <c r="ER112" s="628">
        <v>0</v>
      </c>
      <c r="ES112" s="628">
        <v>-63369</v>
      </c>
      <c r="ET112" s="628">
        <v>-1343024.4320499329</v>
      </c>
      <c r="EU112" s="628">
        <v>-13121</v>
      </c>
      <c r="EV112" s="628">
        <v>-4440244.333333334</v>
      </c>
      <c r="EW112" s="628">
        <v>-126501</v>
      </c>
      <c r="EX112" s="628">
        <v>0</v>
      </c>
      <c r="EY112" s="628">
        <v>-283252.16755644791</v>
      </c>
      <c r="EZ112" s="628">
        <v>65516138.342474654</v>
      </c>
      <c r="FA112" s="628">
        <v>0</v>
      </c>
      <c r="FB112" s="628">
        <v>0</v>
      </c>
      <c r="FC112" s="628">
        <v>-1617792.1034890236</v>
      </c>
      <c r="FD112" s="628">
        <v>0</v>
      </c>
      <c r="FE112" s="628">
        <v>0</v>
      </c>
      <c r="FF112" s="628">
        <v>58672668.888156429</v>
      </c>
      <c r="FI112" s="628">
        <v>65493.060034208916</v>
      </c>
      <c r="FK112" s="628">
        <v>13441</v>
      </c>
      <c r="FL112" s="628">
        <v>90</v>
      </c>
      <c r="FM112" s="488">
        <v>13351</v>
      </c>
    </row>
    <row r="113" spans="1:169" x14ac:dyDescent="0.2">
      <c r="E113" s="282"/>
      <c r="H113" s="277">
        <v>33455</v>
      </c>
      <c r="BV113" s="282"/>
      <c r="DO113" s="282"/>
      <c r="EL113" s="518"/>
      <c r="EM113" s="277">
        <v>160705238.8491005</v>
      </c>
    </row>
    <row r="114" spans="1:169" x14ac:dyDescent="0.2">
      <c r="AI114" s="283"/>
      <c r="BB114" s="632">
        <v>1011</v>
      </c>
      <c r="BD114" s="536"/>
      <c r="BI114" s="278">
        <v>6741</v>
      </c>
      <c r="BK114" s="276">
        <v>6993</v>
      </c>
      <c r="BS114" s="287">
        <v>6349</v>
      </c>
      <c r="BT114" s="276" t="s">
        <v>169</v>
      </c>
      <c r="BU114" s="632">
        <v>27444</v>
      </c>
      <c r="BV114" s="282"/>
      <c r="DO114" s="282"/>
      <c r="EL114" s="518"/>
      <c r="EM114" s="277">
        <v>157646449.55103835</v>
      </c>
    </row>
    <row r="115" spans="1:169" x14ac:dyDescent="0.2">
      <c r="T115" s="277"/>
      <c r="BB115" s="633"/>
      <c r="BT115" s="276" t="s">
        <v>221</v>
      </c>
      <c r="BU115" s="632">
        <v>16857</v>
      </c>
      <c r="BV115" s="282"/>
      <c r="DO115" s="282"/>
      <c r="EF115" s="277"/>
      <c r="EH115" s="634">
        <v>67514</v>
      </c>
      <c r="EL115" s="518"/>
      <c r="FC115" s="488" t="s">
        <v>971</v>
      </c>
    </row>
    <row r="116" spans="1:169" s="488" customFormat="1" x14ac:dyDescent="0.2">
      <c r="C116" s="635"/>
      <c r="K116" s="628"/>
      <c r="AB116" s="636"/>
      <c r="AC116" s="636"/>
      <c r="AD116" s="636"/>
      <c r="AE116" s="636"/>
      <c r="AF116" s="636"/>
      <c r="AG116" s="636"/>
      <c r="AH116" s="636"/>
      <c r="AI116" s="637"/>
      <c r="AJ116" s="636"/>
      <c r="AK116" s="636"/>
      <c r="AL116" s="636"/>
      <c r="AM116" s="636"/>
      <c r="AN116" s="636"/>
      <c r="AO116" s="636"/>
      <c r="AP116" s="636"/>
      <c r="AQ116" s="636"/>
      <c r="AR116" s="636"/>
      <c r="AS116" s="636"/>
      <c r="AT116" s="636"/>
      <c r="AU116" s="636"/>
      <c r="AV116" s="636"/>
      <c r="AW116" s="636"/>
      <c r="AX116" s="636"/>
      <c r="AY116" s="636"/>
      <c r="AZ116" s="636"/>
      <c r="BA116" s="636"/>
      <c r="BB116" s="611"/>
      <c r="BC116" s="636"/>
      <c r="BD116" s="636"/>
      <c r="BE116" s="636"/>
      <c r="BF116" s="636"/>
      <c r="BG116" s="636"/>
      <c r="BH116" s="636"/>
      <c r="BI116" s="636"/>
      <c r="BJ116" s="636"/>
      <c r="BK116" s="636"/>
      <c r="BL116" s="636"/>
      <c r="BM116" s="636"/>
      <c r="BN116" s="636"/>
      <c r="BO116" s="636"/>
      <c r="BP116" s="636"/>
      <c r="BQ116" s="636"/>
      <c r="BR116" s="636"/>
      <c r="BS116" s="636"/>
      <c r="BT116" s="636"/>
      <c r="BU116" s="636"/>
      <c r="BV116" s="636"/>
      <c r="BW116" s="636"/>
      <c r="BX116" s="636"/>
      <c r="BY116" s="636"/>
      <c r="BZ116" s="636"/>
      <c r="CA116" s="636"/>
      <c r="CB116" s="636"/>
      <c r="CC116" s="636"/>
      <c r="CD116" s="636"/>
      <c r="CE116" s="636"/>
      <c r="CF116" s="636"/>
      <c r="CG116" s="636"/>
      <c r="CH116" s="636"/>
      <c r="CI116" s="636"/>
      <c r="CJ116" s="636"/>
      <c r="CK116" s="636"/>
      <c r="CL116" s="636"/>
      <c r="CM116" s="636"/>
      <c r="CN116" s="636"/>
      <c r="CO116" s="636"/>
      <c r="CP116" s="636"/>
      <c r="CQ116" s="636"/>
      <c r="CR116" s="636"/>
      <c r="CS116" s="636"/>
      <c r="CT116" s="636"/>
      <c r="CU116" s="636"/>
      <c r="CV116" s="636"/>
      <c r="CW116" s="636"/>
      <c r="CX116" s="636"/>
      <c r="CY116" s="636"/>
      <c r="CZ116" s="636"/>
      <c r="DA116" s="636"/>
      <c r="DB116" s="636"/>
      <c r="DC116" s="636"/>
      <c r="DD116" s="636"/>
      <c r="DE116" s="636"/>
      <c r="DF116" s="636"/>
      <c r="DG116" s="636"/>
      <c r="DH116" s="636"/>
      <c r="DI116" s="636"/>
      <c r="DJ116" s="636"/>
      <c r="DK116" s="636"/>
      <c r="DL116" s="636"/>
      <c r="DM116" s="636"/>
      <c r="DN116" s="636"/>
      <c r="DO116" s="636"/>
      <c r="DP116" s="636"/>
      <c r="DQ116" s="636"/>
      <c r="DR116" s="637"/>
      <c r="DS116" s="636"/>
      <c r="DT116" s="636"/>
      <c r="DU116" s="636"/>
      <c r="DV116" s="636"/>
      <c r="DW116" s="636"/>
      <c r="DX116" s="636"/>
      <c r="DY116" s="636"/>
      <c r="DZ116" s="636"/>
      <c r="EA116" s="636"/>
      <c r="EB116" s="636"/>
      <c r="EC116" s="636"/>
      <c r="ED116" s="637"/>
      <c r="EE116" s="637"/>
      <c r="EF116" s="636"/>
      <c r="EG116" s="636"/>
      <c r="EH116" s="636"/>
      <c r="EI116" s="637"/>
      <c r="EJ116" s="636"/>
      <c r="EL116" s="518"/>
      <c r="FC116" s="628">
        <v>331075.42634817399</v>
      </c>
      <c r="FK116" s="628">
        <v>0</v>
      </c>
    </row>
    <row r="117" spans="1:169" x14ac:dyDescent="0.2">
      <c r="T117" s="277"/>
      <c r="Z117" s="638">
        <v>35030</v>
      </c>
      <c r="BB117" s="633"/>
      <c r="BT117" s="276" t="s">
        <v>899</v>
      </c>
      <c r="BU117" s="639"/>
      <c r="BV117" s="282"/>
      <c r="DO117" s="282"/>
      <c r="EL117" s="518"/>
      <c r="EO117" s="277"/>
    </row>
    <row r="118" spans="1:169" s="277" customFormat="1" x14ac:dyDescent="0.2">
      <c r="C118" s="640"/>
      <c r="AB118" s="641"/>
      <c r="AC118" s="641"/>
      <c r="AD118" s="641"/>
      <c r="AE118" s="641"/>
      <c r="AF118" s="641"/>
      <c r="AG118" s="641"/>
      <c r="AH118" s="641"/>
      <c r="AI118" s="641"/>
      <c r="AJ118" s="641"/>
      <c r="AK118" s="641"/>
      <c r="AL118" s="641"/>
      <c r="AM118" s="641"/>
      <c r="AN118" s="641"/>
      <c r="AO118" s="641"/>
      <c r="AP118" s="641"/>
      <c r="AQ118" s="641"/>
      <c r="AR118" s="641"/>
      <c r="AS118" s="641"/>
      <c r="AT118" s="641"/>
      <c r="AU118" s="641"/>
      <c r="AV118" s="641"/>
      <c r="AW118" s="641"/>
      <c r="AX118" s="641"/>
      <c r="AY118" s="641"/>
      <c r="AZ118" s="641"/>
      <c r="BA118" s="641"/>
      <c r="BB118" s="642"/>
      <c r="BC118" s="641"/>
      <c r="BD118" s="641"/>
      <c r="BE118" s="641"/>
      <c r="BF118" s="641"/>
      <c r="BG118" s="641"/>
      <c r="BH118" s="641"/>
      <c r="BI118" s="641"/>
      <c r="BJ118" s="641"/>
      <c r="BK118" s="641"/>
      <c r="BL118" s="641"/>
      <c r="BM118" s="641"/>
      <c r="BN118" s="641"/>
      <c r="BO118" s="641"/>
      <c r="BP118" s="641"/>
      <c r="BQ118" s="641"/>
      <c r="BR118" s="641"/>
      <c r="BS118" s="641"/>
      <c r="BT118" s="641"/>
      <c r="BU118" s="641"/>
      <c r="BV118" s="641"/>
      <c r="BW118" s="641"/>
      <c r="BX118" s="641"/>
      <c r="BY118" s="641"/>
      <c r="BZ118" s="641"/>
      <c r="CA118" s="641"/>
      <c r="CB118" s="641"/>
      <c r="CC118" s="641"/>
      <c r="CD118" s="641"/>
      <c r="CE118" s="641"/>
      <c r="CF118" s="641"/>
      <c r="CG118" s="641"/>
      <c r="CH118" s="641"/>
      <c r="CI118" s="641"/>
      <c r="CJ118" s="641"/>
      <c r="CK118" s="641"/>
      <c r="CL118" s="641"/>
      <c r="CM118" s="641"/>
      <c r="CN118" s="641"/>
      <c r="CO118" s="641"/>
      <c r="CP118" s="641"/>
      <c r="CQ118" s="641"/>
      <c r="CR118" s="641"/>
      <c r="CS118" s="641"/>
      <c r="CT118" s="641"/>
      <c r="CU118" s="641"/>
      <c r="CV118" s="641"/>
      <c r="CW118" s="641"/>
      <c r="CX118" s="641"/>
      <c r="CY118" s="641"/>
      <c r="CZ118" s="641"/>
      <c r="DA118" s="641"/>
      <c r="DB118" s="641"/>
      <c r="DC118" s="641"/>
      <c r="DD118" s="641"/>
      <c r="DE118" s="641"/>
      <c r="DF118" s="641"/>
      <c r="DG118" s="641"/>
      <c r="DH118" s="641"/>
      <c r="DI118" s="641"/>
      <c r="DJ118" s="641"/>
      <c r="DK118" s="641"/>
      <c r="DL118" s="641"/>
      <c r="DM118" s="641"/>
      <c r="DN118" s="641"/>
      <c r="DO118" s="641"/>
      <c r="DP118" s="641"/>
      <c r="DQ118" s="641"/>
      <c r="DR118" s="641"/>
      <c r="DS118" s="641"/>
      <c r="DT118" s="641"/>
      <c r="DU118" s="641"/>
      <c r="DV118" s="641"/>
      <c r="DW118" s="641"/>
      <c r="DX118" s="641"/>
      <c r="DY118" s="641"/>
      <c r="DZ118" s="641"/>
      <c r="EA118" s="641"/>
      <c r="EB118" s="641"/>
      <c r="EC118" s="641"/>
      <c r="ED118" s="641"/>
      <c r="EE118" s="641"/>
      <c r="EF118" s="641"/>
      <c r="EG118" s="641"/>
      <c r="EH118" s="641"/>
      <c r="EI118" s="641"/>
      <c r="EJ118" s="641"/>
      <c r="EL118" s="628"/>
    </row>
    <row r="119" spans="1:169" x14ac:dyDescent="0.2">
      <c r="BB119" s="633"/>
      <c r="BU119" s="639"/>
      <c r="BV119" s="282"/>
      <c r="DO119" s="282"/>
      <c r="EL119" s="518"/>
    </row>
    <row r="120" spans="1:169" x14ac:dyDescent="0.2">
      <c r="A120" s="276">
        <v>1</v>
      </c>
      <c r="B120" s="276">
        <v>2</v>
      </c>
      <c r="C120" s="276">
        <v>3</v>
      </c>
      <c r="D120" s="276">
        <v>4</v>
      </c>
      <c r="E120" s="276">
        <v>5</v>
      </c>
      <c r="F120" s="276">
        <v>6</v>
      </c>
      <c r="G120" s="276">
        <v>7</v>
      </c>
      <c r="H120" s="276">
        <v>8</v>
      </c>
      <c r="I120" s="276">
        <v>9</v>
      </c>
      <c r="J120" s="276">
        <v>10</v>
      </c>
      <c r="K120" s="276">
        <v>11</v>
      </c>
      <c r="L120" s="276">
        <v>12</v>
      </c>
      <c r="M120" s="276">
        <v>13</v>
      </c>
      <c r="N120" s="276">
        <v>14</v>
      </c>
      <c r="O120" s="276">
        <v>15</v>
      </c>
      <c r="P120" s="276">
        <v>16</v>
      </c>
      <c r="Q120" s="276">
        <v>17</v>
      </c>
      <c r="R120" s="276">
        <v>18</v>
      </c>
      <c r="S120" s="276">
        <v>19</v>
      </c>
      <c r="T120" s="276">
        <v>20</v>
      </c>
      <c r="U120" s="276">
        <v>21</v>
      </c>
      <c r="V120" s="276">
        <v>22</v>
      </c>
      <c r="W120" s="276">
        <v>23</v>
      </c>
      <c r="X120" s="276">
        <v>24</v>
      </c>
      <c r="Y120" s="276">
        <v>25</v>
      </c>
      <c r="Z120" s="276">
        <v>26</v>
      </c>
      <c r="AA120" s="276">
        <v>27</v>
      </c>
      <c r="AB120" s="276">
        <v>28</v>
      </c>
      <c r="AC120" s="276">
        <v>29</v>
      </c>
      <c r="AD120" s="276">
        <v>30</v>
      </c>
      <c r="AE120" s="276">
        <v>31</v>
      </c>
      <c r="AF120" s="276">
        <v>32</v>
      </c>
      <c r="AG120" s="276">
        <v>33</v>
      </c>
      <c r="AH120" s="276">
        <v>34</v>
      </c>
      <c r="AI120" s="277">
        <v>35</v>
      </c>
      <c r="AJ120" s="276">
        <v>36</v>
      </c>
      <c r="AK120" s="276">
        <v>37</v>
      </c>
      <c r="AL120" s="276">
        <v>38</v>
      </c>
      <c r="AM120" s="276">
        <v>39</v>
      </c>
      <c r="AN120" s="276">
        <v>40</v>
      </c>
      <c r="AO120" s="276">
        <v>41</v>
      </c>
      <c r="AP120" s="276">
        <v>42</v>
      </c>
      <c r="AR120" s="276">
        <v>44</v>
      </c>
      <c r="AS120" s="276">
        <v>45</v>
      </c>
      <c r="AT120" s="276">
        <v>46</v>
      </c>
      <c r="AU120" s="276">
        <v>47</v>
      </c>
      <c r="AV120" s="276">
        <v>48</v>
      </c>
      <c r="AW120" s="276">
        <v>49</v>
      </c>
      <c r="AX120" s="276">
        <v>50</v>
      </c>
      <c r="AY120" s="276">
        <v>51</v>
      </c>
      <c r="AZ120" s="276">
        <v>52</v>
      </c>
      <c r="BA120" s="276">
        <v>53</v>
      </c>
      <c r="BB120" s="276">
        <v>54</v>
      </c>
      <c r="BC120" s="276">
        <v>55</v>
      </c>
      <c r="BD120" s="276">
        <v>56</v>
      </c>
      <c r="BE120" s="276">
        <v>57</v>
      </c>
      <c r="BF120" s="276">
        <v>58</v>
      </c>
      <c r="BG120" s="276">
        <v>59</v>
      </c>
      <c r="BH120" s="276">
        <v>60</v>
      </c>
      <c r="BI120" s="276">
        <v>61</v>
      </c>
      <c r="BJ120" s="276">
        <v>62</v>
      </c>
      <c r="BK120" s="276">
        <v>63</v>
      </c>
      <c r="BL120" s="276">
        <v>64</v>
      </c>
      <c r="BM120" s="276">
        <v>65</v>
      </c>
      <c r="BN120" s="276">
        <v>66</v>
      </c>
      <c r="BO120" s="276">
        <v>67</v>
      </c>
      <c r="BP120" s="276">
        <v>68</v>
      </c>
      <c r="BQ120" s="276">
        <v>69</v>
      </c>
      <c r="BR120" s="276">
        <v>70</v>
      </c>
      <c r="BS120" s="276">
        <v>71</v>
      </c>
      <c r="BT120" s="276">
        <v>72</v>
      </c>
      <c r="BU120" s="276">
        <v>73</v>
      </c>
      <c r="BV120" s="276">
        <v>74</v>
      </c>
      <c r="BW120" s="276">
        <v>75</v>
      </c>
      <c r="BX120" s="276">
        <v>76</v>
      </c>
      <c r="BY120" s="276">
        <v>77</v>
      </c>
      <c r="BZ120" s="276">
        <v>78</v>
      </c>
      <c r="CA120" s="276">
        <v>79</v>
      </c>
      <c r="CB120" s="276">
        <v>80</v>
      </c>
      <c r="CC120" s="276">
        <v>81</v>
      </c>
      <c r="CD120" s="276">
        <v>82</v>
      </c>
      <c r="CE120" s="276">
        <v>83</v>
      </c>
      <c r="CF120" s="276">
        <v>84</v>
      </c>
      <c r="CG120" s="276">
        <v>85</v>
      </c>
      <c r="CH120" s="276">
        <v>86</v>
      </c>
      <c r="CI120" s="276">
        <v>87</v>
      </c>
      <c r="CJ120" s="276">
        <v>88</v>
      </c>
      <c r="CK120" s="276">
        <v>89</v>
      </c>
      <c r="CL120" s="276">
        <v>90</v>
      </c>
      <c r="CM120" s="276">
        <v>91</v>
      </c>
      <c r="CN120" s="276">
        <v>92</v>
      </c>
      <c r="CO120" s="276">
        <v>93</v>
      </c>
      <c r="CP120" s="276">
        <v>94</v>
      </c>
      <c r="CQ120" s="276">
        <v>95</v>
      </c>
      <c r="CR120" s="276">
        <v>96</v>
      </c>
      <c r="CS120" s="276">
        <v>97</v>
      </c>
      <c r="CT120" s="276">
        <v>98</v>
      </c>
      <c r="CU120" s="276">
        <v>99</v>
      </c>
      <c r="CV120" s="276">
        <v>100</v>
      </c>
      <c r="CW120" s="276">
        <v>101</v>
      </c>
      <c r="CX120" s="276">
        <v>102</v>
      </c>
      <c r="CY120" s="276">
        <v>103</v>
      </c>
      <c r="CZ120" s="276">
        <v>104</v>
      </c>
      <c r="DA120" s="276">
        <v>105</v>
      </c>
      <c r="DB120" s="276">
        <v>106</v>
      </c>
      <c r="DC120" s="276">
        <v>107</v>
      </c>
      <c r="DD120" s="276">
        <v>108</v>
      </c>
      <c r="DE120" s="276">
        <v>109</v>
      </c>
      <c r="DF120" s="276">
        <v>110</v>
      </c>
      <c r="DG120" s="276">
        <v>111</v>
      </c>
      <c r="DH120" s="276">
        <v>112</v>
      </c>
      <c r="DI120" s="276">
        <v>113</v>
      </c>
      <c r="DJ120" s="276">
        <v>114</v>
      </c>
      <c r="DK120" s="276">
        <v>115</v>
      </c>
      <c r="DL120" s="276">
        <v>116</v>
      </c>
      <c r="DM120" s="276">
        <v>117</v>
      </c>
      <c r="DN120" s="276">
        <v>118</v>
      </c>
      <c r="DO120" s="276">
        <v>119</v>
      </c>
      <c r="DP120" s="276">
        <v>120</v>
      </c>
      <c r="DQ120" s="276">
        <v>121</v>
      </c>
      <c r="DR120" s="277">
        <v>122</v>
      </c>
      <c r="DS120" s="276">
        <v>123</v>
      </c>
      <c r="DT120" s="276">
        <v>124</v>
      </c>
      <c r="DU120" s="276">
        <v>125</v>
      </c>
      <c r="DV120" s="276">
        <v>126</v>
      </c>
      <c r="DW120" s="276">
        <v>127</v>
      </c>
      <c r="DX120" s="276">
        <v>128</v>
      </c>
      <c r="DY120" s="276">
        <v>129</v>
      </c>
      <c r="DZ120" s="276">
        <v>130</v>
      </c>
      <c r="EA120" s="276">
        <v>131</v>
      </c>
      <c r="EB120" s="276">
        <v>132</v>
      </c>
      <c r="EC120" s="276">
        <v>133</v>
      </c>
      <c r="ED120" s="277">
        <v>134</v>
      </c>
      <c r="EE120" s="277">
        <v>135</v>
      </c>
      <c r="EF120" s="276">
        <v>136</v>
      </c>
      <c r="EG120" s="276">
        <v>137</v>
      </c>
      <c r="EH120" s="276">
        <v>138</v>
      </c>
      <c r="EI120" s="277">
        <v>139</v>
      </c>
      <c r="EJ120" s="276">
        <v>140</v>
      </c>
      <c r="EL120" s="518"/>
    </row>
    <row r="121" spans="1:169" x14ac:dyDescent="0.2">
      <c r="BV121" s="282"/>
      <c r="DO121" s="282"/>
      <c r="EL121" s="518"/>
    </row>
    <row r="122" spans="1:169" s="488" customFormat="1" x14ac:dyDescent="0.2">
      <c r="C122" s="488">
        <v>1</v>
      </c>
      <c r="D122" s="488">
        <v>2</v>
      </c>
      <c r="E122" s="488">
        <v>3</v>
      </c>
      <c r="F122" s="488">
        <v>4</v>
      </c>
      <c r="G122" s="488">
        <v>5</v>
      </c>
      <c r="H122" s="488">
        <v>6</v>
      </c>
      <c r="I122" s="488">
        <v>7</v>
      </c>
      <c r="J122" s="488">
        <v>8</v>
      </c>
      <c r="K122" s="488">
        <v>9</v>
      </c>
      <c r="L122" s="488">
        <v>10</v>
      </c>
      <c r="M122" s="488">
        <v>11</v>
      </c>
      <c r="N122" s="488">
        <v>12</v>
      </c>
      <c r="O122" s="488">
        <v>13</v>
      </c>
      <c r="P122" s="488">
        <v>14</v>
      </c>
      <c r="Q122" s="488">
        <v>15</v>
      </c>
      <c r="R122" s="488">
        <v>16</v>
      </c>
      <c r="S122" s="488">
        <v>17</v>
      </c>
      <c r="T122" s="488">
        <v>18</v>
      </c>
      <c r="U122" s="488">
        <v>19</v>
      </c>
      <c r="V122" s="488">
        <v>20</v>
      </c>
      <c r="W122" s="488">
        <v>21</v>
      </c>
      <c r="X122" s="488">
        <v>22</v>
      </c>
      <c r="Y122" s="488">
        <v>23</v>
      </c>
      <c r="Z122" s="488">
        <v>24</v>
      </c>
      <c r="AA122" s="488">
        <v>25</v>
      </c>
      <c r="AB122" s="488">
        <v>26</v>
      </c>
      <c r="AC122" s="488">
        <v>27</v>
      </c>
      <c r="AD122" s="488">
        <v>28</v>
      </c>
      <c r="AE122" s="488">
        <v>29</v>
      </c>
      <c r="AF122" s="488">
        <v>30</v>
      </c>
      <c r="AG122" s="488">
        <v>31</v>
      </c>
      <c r="AH122" s="488">
        <v>32</v>
      </c>
      <c r="AI122" s="488">
        <v>33</v>
      </c>
      <c r="AJ122" s="488">
        <v>34</v>
      </c>
      <c r="AK122" s="488">
        <v>35</v>
      </c>
      <c r="AL122" s="488">
        <v>36</v>
      </c>
      <c r="AM122" s="488">
        <v>37</v>
      </c>
      <c r="AN122" s="488">
        <v>38</v>
      </c>
      <c r="AO122" s="488">
        <v>39</v>
      </c>
      <c r="AP122" s="488">
        <v>40</v>
      </c>
      <c r="AQ122" s="488">
        <v>41</v>
      </c>
      <c r="AR122" s="488">
        <v>42</v>
      </c>
      <c r="AS122" s="488">
        <v>43</v>
      </c>
      <c r="AT122" s="488">
        <v>44</v>
      </c>
      <c r="AU122" s="488">
        <v>45</v>
      </c>
      <c r="AV122" s="488">
        <v>46</v>
      </c>
      <c r="AW122" s="488">
        <v>47</v>
      </c>
      <c r="AX122" s="488">
        <v>48</v>
      </c>
      <c r="AY122" s="488">
        <v>49</v>
      </c>
      <c r="AZ122" s="488">
        <v>50</v>
      </c>
      <c r="BA122" s="488">
        <v>51</v>
      </c>
      <c r="BB122" s="488">
        <v>52</v>
      </c>
      <c r="BC122" s="488">
        <v>53</v>
      </c>
      <c r="BD122" s="488">
        <v>54</v>
      </c>
      <c r="BE122" s="488">
        <v>55</v>
      </c>
      <c r="BF122" s="488">
        <v>56</v>
      </c>
      <c r="BG122" s="488">
        <v>57</v>
      </c>
      <c r="BH122" s="488">
        <v>58</v>
      </c>
      <c r="BI122" s="488">
        <v>59</v>
      </c>
      <c r="BJ122" s="488">
        <v>60</v>
      </c>
      <c r="BK122" s="488">
        <v>61</v>
      </c>
      <c r="BL122" s="488">
        <v>62</v>
      </c>
      <c r="BM122" s="488">
        <v>63</v>
      </c>
      <c r="BN122" s="488">
        <v>64</v>
      </c>
      <c r="BO122" s="488">
        <v>65</v>
      </c>
      <c r="BP122" s="488">
        <v>66</v>
      </c>
      <c r="BQ122" s="488">
        <v>67</v>
      </c>
      <c r="BR122" s="488">
        <v>68</v>
      </c>
      <c r="BS122" s="488">
        <v>69</v>
      </c>
      <c r="BT122" s="488">
        <v>70</v>
      </c>
      <c r="BU122" s="488">
        <v>71</v>
      </c>
      <c r="BV122" s="488">
        <v>72</v>
      </c>
      <c r="BW122" s="488">
        <v>73</v>
      </c>
      <c r="BX122" s="488">
        <v>74</v>
      </c>
      <c r="BY122" s="488">
        <v>75</v>
      </c>
      <c r="BZ122" s="488">
        <v>76</v>
      </c>
      <c r="CA122" s="488">
        <v>77</v>
      </c>
      <c r="CB122" s="488">
        <v>78</v>
      </c>
      <c r="CC122" s="488">
        <v>79</v>
      </c>
      <c r="CD122" s="488">
        <v>80</v>
      </c>
      <c r="CE122" s="488">
        <v>81</v>
      </c>
      <c r="CF122" s="488">
        <v>82</v>
      </c>
      <c r="CG122" s="488">
        <v>83</v>
      </c>
      <c r="CH122" s="488">
        <v>84</v>
      </c>
      <c r="CI122" s="488">
        <v>85</v>
      </c>
      <c r="CJ122" s="488">
        <v>86</v>
      </c>
      <c r="CK122" s="488">
        <v>87</v>
      </c>
      <c r="CL122" s="488">
        <v>88</v>
      </c>
      <c r="CM122" s="488">
        <v>89</v>
      </c>
      <c r="CN122" s="488">
        <v>90</v>
      </c>
      <c r="CO122" s="488">
        <v>91</v>
      </c>
      <c r="CP122" s="488">
        <v>92</v>
      </c>
      <c r="CQ122" s="488">
        <v>93</v>
      </c>
      <c r="CR122" s="488">
        <v>94</v>
      </c>
      <c r="CS122" s="488">
        <v>95</v>
      </c>
      <c r="CT122" s="488">
        <v>96</v>
      </c>
      <c r="CU122" s="488">
        <v>97</v>
      </c>
      <c r="CV122" s="488">
        <v>98</v>
      </c>
      <c r="CW122" s="488">
        <v>99</v>
      </c>
      <c r="CX122" s="488">
        <v>100</v>
      </c>
      <c r="CY122" s="488">
        <v>101</v>
      </c>
      <c r="CZ122" s="488">
        <v>102</v>
      </c>
      <c r="DA122" s="488">
        <v>103</v>
      </c>
      <c r="DB122" s="488">
        <v>104</v>
      </c>
      <c r="DC122" s="488">
        <v>105</v>
      </c>
      <c r="DD122" s="488">
        <v>106</v>
      </c>
      <c r="DE122" s="488">
        <v>107</v>
      </c>
      <c r="DF122" s="488">
        <v>108</v>
      </c>
      <c r="DG122" s="488">
        <v>109</v>
      </c>
      <c r="DH122" s="488">
        <v>110</v>
      </c>
      <c r="DI122" s="488">
        <v>111</v>
      </c>
      <c r="DJ122" s="488">
        <v>112</v>
      </c>
      <c r="DK122" s="488">
        <v>113</v>
      </c>
      <c r="DL122" s="488">
        <v>114</v>
      </c>
      <c r="DM122" s="488">
        <v>115</v>
      </c>
      <c r="DN122" s="488">
        <v>116</v>
      </c>
      <c r="DO122" s="488">
        <v>117</v>
      </c>
      <c r="DP122" s="488">
        <v>118</v>
      </c>
      <c r="DQ122" s="488">
        <v>119</v>
      </c>
      <c r="DR122" s="488">
        <v>120</v>
      </c>
      <c r="DS122" s="488">
        <v>121</v>
      </c>
      <c r="DT122" s="488">
        <v>122</v>
      </c>
      <c r="DU122" s="488">
        <v>123</v>
      </c>
      <c r="DV122" s="488">
        <v>124</v>
      </c>
      <c r="DW122" s="488">
        <v>125</v>
      </c>
      <c r="DX122" s="488">
        <v>126</v>
      </c>
      <c r="DY122" s="488">
        <v>127</v>
      </c>
      <c r="DZ122" s="488">
        <v>128</v>
      </c>
      <c r="EA122" s="488">
        <v>129</v>
      </c>
      <c r="EB122" s="488">
        <v>130</v>
      </c>
      <c r="EC122" s="488">
        <v>131</v>
      </c>
      <c r="ED122" s="488">
        <v>132</v>
      </c>
      <c r="EE122" s="488">
        <v>133</v>
      </c>
      <c r="EF122" s="488">
        <v>134</v>
      </c>
      <c r="EG122" s="488">
        <v>135</v>
      </c>
      <c r="EH122" s="488">
        <v>136</v>
      </c>
      <c r="EI122" s="488">
        <v>137</v>
      </c>
      <c r="EJ122" s="488">
        <v>138</v>
      </c>
      <c r="EK122" s="488">
        <v>139</v>
      </c>
      <c r="EL122" s="488">
        <v>140</v>
      </c>
      <c r="EM122" s="488">
        <v>141</v>
      </c>
      <c r="EN122" s="488">
        <v>142</v>
      </c>
      <c r="EO122" s="488">
        <v>143</v>
      </c>
      <c r="EP122" s="488">
        <v>144</v>
      </c>
      <c r="EQ122" s="488">
        <v>145</v>
      </c>
      <c r="ER122" s="488">
        <v>146</v>
      </c>
      <c r="ES122" s="488">
        <v>147</v>
      </c>
      <c r="ET122" s="488">
        <v>148</v>
      </c>
      <c r="EU122" s="488">
        <v>149</v>
      </c>
      <c r="EV122" s="488">
        <v>150</v>
      </c>
      <c r="EW122" s="488">
        <v>151</v>
      </c>
      <c r="EX122" s="488">
        <v>152</v>
      </c>
      <c r="EZ122" s="488">
        <v>153</v>
      </c>
      <c r="FA122" s="488">
        <v>154</v>
      </c>
      <c r="FB122" s="488">
        <v>155</v>
      </c>
      <c r="FC122" s="488">
        <v>156</v>
      </c>
      <c r="FD122" s="488">
        <v>157</v>
      </c>
      <c r="FE122" s="488">
        <v>158</v>
      </c>
      <c r="FF122" s="488">
        <v>159</v>
      </c>
      <c r="FG122" s="488">
        <v>160</v>
      </c>
      <c r="FH122" s="488">
        <v>161</v>
      </c>
      <c r="FI122" s="488">
        <v>162</v>
      </c>
      <c r="FJ122" s="488">
        <v>163</v>
      </c>
      <c r="FK122" s="488">
        <v>164</v>
      </c>
      <c r="FL122" s="488">
        <v>165</v>
      </c>
      <c r="FM122" s="488">
        <v>166</v>
      </c>
    </row>
    <row r="123" spans="1:169" s="488" customFormat="1" x14ac:dyDescent="0.2">
      <c r="K123" s="518"/>
      <c r="AI123" s="628"/>
      <c r="AO123" s="276"/>
      <c r="AX123" s="643"/>
      <c r="AY123" s="643"/>
      <c r="BA123" s="488" t="s">
        <v>292</v>
      </c>
      <c r="BB123" s="518">
        <v>711</v>
      </c>
      <c r="BC123" s="488" t="s">
        <v>292</v>
      </c>
      <c r="BD123" s="518">
        <v>1245</v>
      </c>
      <c r="BV123" s="490"/>
      <c r="CX123" s="644" t="s">
        <v>896</v>
      </c>
      <c r="CY123" s="506">
        <v>0</v>
      </c>
      <c r="DB123" s="628"/>
      <c r="DN123" s="518"/>
      <c r="DO123" s="490"/>
      <c r="DR123" s="628"/>
      <c r="DT123" s="502"/>
      <c r="EA123" s="518"/>
      <c r="ED123" s="628"/>
      <c r="EE123" s="628"/>
      <c r="EI123" s="628"/>
      <c r="EL123" s="518"/>
    </row>
    <row r="124" spans="1:169" s="488" customFormat="1" x14ac:dyDescent="0.2">
      <c r="AI124" s="628"/>
      <c r="AO124" s="276"/>
      <c r="AX124" s="643"/>
      <c r="AY124" s="643"/>
      <c r="BA124" s="488" t="s">
        <v>146</v>
      </c>
      <c r="BB124" s="518">
        <v>300</v>
      </c>
      <c r="BC124" s="488" t="s">
        <v>146</v>
      </c>
      <c r="BD124" s="518">
        <v>466</v>
      </c>
      <c r="BV124" s="490"/>
      <c r="CX124" s="644" t="s">
        <v>897</v>
      </c>
      <c r="CY124" s="506">
        <v>0</v>
      </c>
      <c r="DB124" s="628"/>
      <c r="DN124" s="518"/>
      <c r="DO124" s="490"/>
      <c r="DR124" s="628"/>
      <c r="DT124" s="502"/>
      <c r="EA124" s="518"/>
      <c r="ED124" s="628"/>
      <c r="EE124" s="628"/>
      <c r="EI124" s="628"/>
      <c r="EL124" s="518"/>
    </row>
    <row r="125" spans="1:169" x14ac:dyDescent="0.2">
      <c r="BC125" s="276"/>
      <c r="BV125" s="282"/>
      <c r="CX125" s="644" t="s">
        <v>898</v>
      </c>
      <c r="CY125" s="506">
        <v>0</v>
      </c>
      <c r="DO125" s="282"/>
      <c r="EL125" s="518"/>
    </row>
    <row r="126" spans="1:169" x14ac:dyDescent="0.2">
      <c r="BV126" s="282"/>
      <c r="DO126" s="282"/>
      <c r="EL126" s="518"/>
    </row>
    <row r="127" spans="1:169" x14ac:dyDescent="0.2">
      <c r="BV127" s="282"/>
      <c r="DO127" s="282"/>
      <c r="EL127" s="518"/>
    </row>
    <row r="128" spans="1:169" x14ac:dyDescent="0.2">
      <c r="A128" s="275" t="s">
        <v>900</v>
      </c>
      <c r="E128" s="645" t="e">
        <v>#REF!</v>
      </c>
      <c r="F128" s="645" t="e">
        <v>#REF!</v>
      </c>
      <c r="G128" s="645" t="e">
        <v>#REF!</v>
      </c>
      <c r="H128" s="645" t="e">
        <v>#REF!</v>
      </c>
      <c r="I128" s="645" t="e">
        <v>#REF!</v>
      </c>
      <c r="J128" s="645" t="e">
        <v>#REF!</v>
      </c>
      <c r="K128" s="645" t="e">
        <v>#REF!</v>
      </c>
      <c r="L128" s="645" t="e">
        <v>#REF!</v>
      </c>
      <c r="M128" s="645" t="e">
        <v>#REF!</v>
      </c>
      <c r="N128" s="645" t="e">
        <v>#REF!</v>
      </c>
      <c r="O128" s="645" t="e">
        <v>#REF!</v>
      </c>
      <c r="P128" s="645" t="e">
        <v>#REF!</v>
      </c>
      <c r="Q128" s="645" t="e">
        <v>#REF!</v>
      </c>
      <c r="R128" s="645" t="e">
        <v>#REF!</v>
      </c>
      <c r="S128" s="645" t="e">
        <v>#REF!</v>
      </c>
      <c r="T128" s="645" t="e">
        <v>#REF!</v>
      </c>
      <c r="U128" s="645" t="e">
        <v>#REF!</v>
      </c>
      <c r="V128" s="645" t="e">
        <v>#REF!</v>
      </c>
      <c r="W128" s="645" t="e">
        <v>#REF!</v>
      </c>
      <c r="X128" s="645" t="e">
        <v>#REF!</v>
      </c>
      <c r="Y128" s="645" t="e">
        <v>#REF!</v>
      </c>
      <c r="Z128" s="645" t="e">
        <v>#REF!</v>
      </c>
      <c r="AA128" s="645" t="e">
        <v>#REF!</v>
      </c>
      <c r="AB128" s="645" t="e">
        <v>#REF!</v>
      </c>
      <c r="AC128" s="645" t="e">
        <v>#REF!</v>
      </c>
      <c r="AD128" s="645" t="e">
        <v>#REF!</v>
      </c>
      <c r="AE128" s="645" t="e">
        <v>#REF!</v>
      </c>
      <c r="AF128" s="645" t="e">
        <v>#REF!</v>
      </c>
      <c r="AG128" s="645" t="e">
        <v>#REF!</v>
      </c>
      <c r="AH128" s="645" t="e">
        <v>#REF!</v>
      </c>
      <c r="AI128" s="645" t="e">
        <v>#REF!</v>
      </c>
      <c r="AJ128" s="645" t="e">
        <v>#REF!</v>
      </c>
      <c r="AK128" s="645" t="e">
        <v>#REF!</v>
      </c>
      <c r="AL128" s="645" t="e">
        <v>#REF!</v>
      </c>
      <c r="AM128" s="645" t="e">
        <v>#REF!</v>
      </c>
      <c r="AN128" s="645" t="e">
        <v>#REF!</v>
      </c>
      <c r="AO128" s="645" t="e">
        <v>#REF!</v>
      </c>
      <c r="AP128" s="645" t="e">
        <v>#REF!</v>
      </c>
      <c r="AQ128" s="645" t="e">
        <v>#REF!</v>
      </c>
      <c r="AR128" s="645" t="e">
        <v>#REF!</v>
      </c>
      <c r="AS128" s="645" t="e">
        <v>#REF!</v>
      </c>
      <c r="AT128" s="645" t="e">
        <v>#REF!</v>
      </c>
      <c r="AU128" s="645" t="e">
        <v>#REF!</v>
      </c>
      <c r="AV128" s="645" t="e">
        <v>#REF!</v>
      </c>
      <c r="AW128" s="645" t="e">
        <v>#REF!</v>
      </c>
      <c r="AX128" s="645" t="e">
        <v>#REF!</v>
      </c>
      <c r="AY128" s="645" t="e">
        <v>#REF!</v>
      </c>
      <c r="AZ128" s="645" t="e">
        <v>#REF!</v>
      </c>
      <c r="BA128" s="645" t="e">
        <v>#REF!</v>
      </c>
      <c r="BB128" s="645" t="e">
        <v>#REF!</v>
      </c>
      <c r="BC128" s="645" t="e">
        <v>#REF!</v>
      </c>
      <c r="BD128" s="645" t="e">
        <v>#REF!</v>
      </c>
      <c r="BE128" s="645" t="e">
        <v>#REF!</v>
      </c>
      <c r="BF128" s="645" t="e">
        <v>#REF!</v>
      </c>
      <c r="BG128" s="645" t="e">
        <v>#REF!</v>
      </c>
      <c r="BH128" s="645" t="e">
        <v>#REF!</v>
      </c>
      <c r="BI128" s="645" t="e">
        <v>#REF!</v>
      </c>
      <c r="BJ128" s="645" t="e">
        <v>#REF!</v>
      </c>
      <c r="BK128" s="645" t="e">
        <v>#REF!</v>
      </c>
      <c r="BL128" s="645" t="e">
        <v>#REF!</v>
      </c>
      <c r="BM128" s="645" t="e">
        <v>#REF!</v>
      </c>
      <c r="BN128" s="645" t="e">
        <v>#REF!</v>
      </c>
      <c r="BO128" s="645" t="e">
        <v>#REF!</v>
      </c>
      <c r="BP128" s="645" t="e">
        <v>#REF!</v>
      </c>
      <c r="BQ128" s="645" t="e">
        <v>#REF!</v>
      </c>
      <c r="BR128" s="645" t="e">
        <v>#REF!</v>
      </c>
      <c r="BS128" s="645" t="e">
        <v>#REF!</v>
      </c>
      <c r="BT128" s="645" t="e">
        <v>#REF!</v>
      </c>
      <c r="BU128" s="645" t="e">
        <v>#REF!</v>
      </c>
      <c r="BV128" s="645" t="e">
        <v>#REF!</v>
      </c>
      <c r="BW128" s="645" t="e">
        <v>#REF!</v>
      </c>
      <c r="BX128" s="645" t="e">
        <v>#REF!</v>
      </c>
      <c r="BY128" s="645" t="e">
        <v>#REF!</v>
      </c>
      <c r="BZ128" s="645" t="e">
        <v>#REF!</v>
      </c>
      <c r="CA128" s="645" t="e">
        <v>#REF!</v>
      </c>
      <c r="CB128" s="645" t="e">
        <v>#REF!</v>
      </c>
      <c r="CC128" s="645" t="e">
        <v>#REF!</v>
      </c>
      <c r="CD128" s="645" t="e">
        <v>#REF!</v>
      </c>
      <c r="CE128" s="645" t="e">
        <v>#REF!</v>
      </c>
      <c r="CF128" s="645" t="e">
        <v>#REF!</v>
      </c>
      <c r="CG128" s="645" t="e">
        <v>#REF!</v>
      </c>
      <c r="CH128" s="645" t="e">
        <v>#DIV/0!</v>
      </c>
      <c r="CI128" s="645" t="e">
        <v>#DIV/0!</v>
      </c>
      <c r="CJ128" s="645" t="e">
        <v>#REF!</v>
      </c>
      <c r="CK128" s="645" t="e">
        <v>#REF!</v>
      </c>
      <c r="CL128" s="645" t="e">
        <v>#REF!</v>
      </c>
      <c r="CM128" s="645" t="e">
        <v>#REF!</v>
      </c>
      <c r="CN128" s="645" t="e">
        <v>#REF!</v>
      </c>
      <c r="CO128" s="645" t="e">
        <v>#REF!</v>
      </c>
      <c r="CP128" s="645" t="e">
        <v>#REF!</v>
      </c>
      <c r="CQ128" s="645" t="e">
        <v>#REF!</v>
      </c>
      <c r="CR128" s="645" t="e">
        <v>#REF!</v>
      </c>
      <c r="CS128" s="645" t="e">
        <v>#REF!</v>
      </c>
      <c r="CT128" s="645" t="e">
        <v>#REF!</v>
      </c>
      <c r="CU128" s="645" t="e">
        <v>#REF!</v>
      </c>
      <c r="CV128" s="645" t="e">
        <v>#REF!</v>
      </c>
      <c r="CW128" s="645" t="e">
        <v>#REF!</v>
      </c>
      <c r="CX128" s="645" t="e">
        <v>#REF!</v>
      </c>
      <c r="CY128" s="645" t="e">
        <v>#REF!</v>
      </c>
      <c r="CZ128" s="645" t="e">
        <v>#REF!</v>
      </c>
      <c r="DA128" s="645" t="e">
        <v>#REF!</v>
      </c>
      <c r="DB128" s="645" t="e">
        <v>#REF!</v>
      </c>
      <c r="DC128" s="645" t="e">
        <v>#REF!</v>
      </c>
      <c r="DD128" s="645" t="e">
        <v>#REF!</v>
      </c>
      <c r="DE128" s="645" t="e">
        <v>#REF!</v>
      </c>
      <c r="DF128" s="645" t="e">
        <v>#REF!</v>
      </c>
      <c r="DG128" s="645" t="e">
        <v>#REF!</v>
      </c>
      <c r="DH128" s="645" t="e">
        <v>#REF!</v>
      </c>
      <c r="DI128" s="645" t="e">
        <v>#REF!</v>
      </c>
      <c r="DJ128" s="645" t="e">
        <v>#REF!</v>
      </c>
      <c r="DK128" s="645" t="e">
        <v>#REF!</v>
      </c>
      <c r="DL128" s="645" t="e">
        <v>#REF!</v>
      </c>
      <c r="DM128" s="645" t="e">
        <v>#REF!</v>
      </c>
      <c r="DN128" s="645" t="e">
        <v>#REF!</v>
      </c>
      <c r="DO128" s="645" t="e">
        <v>#REF!</v>
      </c>
      <c r="DP128" s="645" t="e">
        <v>#REF!</v>
      </c>
      <c r="DQ128" s="645" t="e">
        <v>#REF!</v>
      </c>
      <c r="DR128" s="645" t="e">
        <v>#REF!</v>
      </c>
      <c r="DS128" s="645" t="e">
        <v>#REF!</v>
      </c>
      <c r="DT128" s="645" t="e">
        <v>#REF!</v>
      </c>
      <c r="DU128" s="645" t="e">
        <v>#REF!</v>
      </c>
      <c r="DV128" s="645" t="e">
        <v>#REF!</v>
      </c>
      <c r="DW128" s="645" t="e">
        <v>#REF!</v>
      </c>
      <c r="DX128" s="645" t="e">
        <v>#REF!</v>
      </c>
      <c r="DY128" s="645" t="e">
        <v>#REF!</v>
      </c>
      <c r="DZ128" s="645" t="e">
        <v>#REF!</v>
      </c>
      <c r="EA128" s="645" t="e">
        <v>#REF!</v>
      </c>
      <c r="EB128" s="645" t="e">
        <v>#REF!</v>
      </c>
      <c r="EC128" s="645" t="e">
        <v>#REF!</v>
      </c>
      <c r="ED128" s="645" t="e">
        <v>#REF!</v>
      </c>
      <c r="EE128" s="645" t="e">
        <v>#REF!</v>
      </c>
      <c r="EF128" s="645" t="e">
        <v>#REF!</v>
      </c>
      <c r="EG128" s="645" t="e">
        <v>#REF!</v>
      </c>
      <c r="EH128" s="645" t="e">
        <v>#REF!</v>
      </c>
      <c r="EI128" s="645" t="e">
        <v>#REF!</v>
      </c>
      <c r="EJ128" s="645" t="e">
        <v>#REF!</v>
      </c>
      <c r="EL128" s="518"/>
    </row>
    <row r="129" spans="1:142" x14ac:dyDescent="0.2">
      <c r="BV129" s="282"/>
      <c r="DO129" s="282"/>
      <c r="DX129" s="645"/>
      <c r="EL129" s="518"/>
    </row>
    <row r="130" spans="1:142" x14ac:dyDescent="0.2">
      <c r="BV130" s="282"/>
      <c r="DO130" s="282"/>
      <c r="DX130" s="645"/>
      <c r="EL130" s="518"/>
    </row>
    <row r="131" spans="1:142" x14ac:dyDescent="0.2">
      <c r="A131" s="276" t="s">
        <v>901</v>
      </c>
      <c r="E131" s="279">
        <v>1575</v>
      </c>
      <c r="F131" s="279">
        <v>0</v>
      </c>
      <c r="G131" s="279">
        <v>0</v>
      </c>
      <c r="H131" s="279">
        <v>5308</v>
      </c>
      <c r="I131" s="279">
        <v>12157.974000000004</v>
      </c>
      <c r="J131" s="279">
        <v>20115493.508148</v>
      </c>
      <c r="K131" s="279">
        <v>8122</v>
      </c>
      <c r="L131" s="279">
        <v>16329.280999999999</v>
      </c>
      <c r="M131" s="279">
        <v>27016964.006357018</v>
      </c>
      <c r="N131" s="279">
        <v>11066</v>
      </c>
      <c r="O131" s="279">
        <v>17254.107199999999</v>
      </c>
      <c r="P131" s="279">
        <v>28431908.423389647</v>
      </c>
      <c r="Q131" s="279">
        <v>5886</v>
      </c>
      <c r="R131" s="279">
        <v>8752.4819999999982</v>
      </c>
      <c r="S131" s="279">
        <v>14422639.422419159</v>
      </c>
      <c r="T131" s="279">
        <v>3073</v>
      </c>
      <c r="U131" s="279">
        <v>5420.7720000000018</v>
      </c>
      <c r="V131" s="279">
        <v>8932533.6455585957</v>
      </c>
      <c r="W131" s="279">
        <v>0</v>
      </c>
      <c r="X131" s="279">
        <v>0</v>
      </c>
      <c r="Y131" s="279">
        <v>0</v>
      </c>
      <c r="Z131" s="279">
        <v>35030</v>
      </c>
      <c r="AA131" s="279">
        <v>59914.616200000011</v>
      </c>
      <c r="AB131" s="279">
        <v>98919544</v>
      </c>
      <c r="AC131" s="279">
        <v>0</v>
      </c>
      <c r="AD131" s="279">
        <v>0</v>
      </c>
      <c r="AE131" s="279">
        <v>0</v>
      </c>
      <c r="AF131" s="279">
        <v>0</v>
      </c>
      <c r="AG131" s="279">
        <v>0</v>
      </c>
      <c r="AH131" s="279">
        <v>0</v>
      </c>
      <c r="AI131" s="279">
        <v>3696520.6000771984</v>
      </c>
      <c r="AJ131" s="279">
        <v>9884</v>
      </c>
      <c r="AK131" s="279">
        <v>171037.00049471023</v>
      </c>
      <c r="AL131" s="279">
        <v>870432.17</v>
      </c>
      <c r="AM131" s="279">
        <v>0</v>
      </c>
      <c r="AN131" s="279">
        <v>0</v>
      </c>
      <c r="AO131" s="279">
        <v>10954.95</v>
      </c>
      <c r="AP131" s="279">
        <v>421492.33902689832</v>
      </c>
      <c r="AQ131" s="279">
        <v>118</v>
      </c>
      <c r="AR131" s="279">
        <v>1338156.0566722197</v>
      </c>
      <c r="AS131" s="279">
        <v>0</v>
      </c>
      <c r="AT131" s="279">
        <v>1863</v>
      </c>
      <c r="AU131" s="279">
        <v>1240</v>
      </c>
      <c r="AV131" s="279">
        <v>1499.5833333333333</v>
      </c>
      <c r="AW131" s="279">
        <v>892233.55864896276</v>
      </c>
      <c r="AX131" s="279">
        <v>120</v>
      </c>
      <c r="AY131" s="279">
        <v>72077.730024498669</v>
      </c>
      <c r="AZ131" s="279">
        <v>0</v>
      </c>
      <c r="BA131" s="279">
        <v>0</v>
      </c>
      <c r="BB131" s="279">
        <v>1011</v>
      </c>
      <c r="BC131" s="279">
        <v>770110</v>
      </c>
      <c r="BD131" s="279">
        <v>1711</v>
      </c>
      <c r="BE131" s="279">
        <v>1014092.0501680145</v>
      </c>
      <c r="BF131" s="279">
        <v>34745</v>
      </c>
      <c r="BG131" s="279">
        <v>6734.5</v>
      </c>
      <c r="BH131" s="279">
        <v>34767</v>
      </c>
      <c r="BI131" s="279">
        <v>6741</v>
      </c>
      <c r="BJ131" s="279">
        <v>35030</v>
      </c>
      <c r="BK131" s="279">
        <v>6993</v>
      </c>
      <c r="BL131" s="279">
        <v>34847.32</v>
      </c>
      <c r="BM131" s="279">
        <v>6822.87</v>
      </c>
      <c r="BN131" s="279">
        <v>1916.29</v>
      </c>
      <c r="BO131" s="279">
        <v>6878.98</v>
      </c>
      <c r="BP131" s="279">
        <v>9682616.541591756</v>
      </c>
      <c r="BQ131" s="279">
        <v>6602</v>
      </c>
      <c r="BR131" s="279">
        <v>1340297.8117594249</v>
      </c>
      <c r="BS131" s="279">
        <v>6349</v>
      </c>
      <c r="BT131" s="279">
        <v>1284364.1660886169</v>
      </c>
      <c r="BU131" s="279">
        <v>44301</v>
      </c>
      <c r="BV131" s="279">
        <v>9112772</v>
      </c>
      <c r="BW131" s="279">
        <v>1040</v>
      </c>
      <c r="BX131" s="279">
        <v>1218923.5683380733</v>
      </c>
      <c r="BY131" s="279">
        <v>0</v>
      </c>
      <c r="BZ131" s="279">
        <v>203.84420298733511</v>
      </c>
      <c r="CA131" s="279">
        <v>99.860384632326145</v>
      </c>
      <c r="CB131" s="279">
        <v>4180.3304070286722</v>
      </c>
      <c r="CC131" s="279">
        <v>3654595.4520522989</v>
      </c>
      <c r="CD131" s="279">
        <v>0</v>
      </c>
      <c r="CE131" s="279">
        <v>363630</v>
      </c>
      <c r="CF131" s="279">
        <v>0</v>
      </c>
      <c r="CG131" s="279">
        <v>35030</v>
      </c>
      <c r="CH131" s="279" t="e">
        <v>#DIV/0!</v>
      </c>
      <c r="CI131" s="279" t="e">
        <v>#DIV/0!</v>
      </c>
      <c r="CJ131" s="279">
        <v>0</v>
      </c>
      <c r="CK131" s="279">
        <v>0</v>
      </c>
      <c r="CL131" s="279">
        <v>269209.77206452063</v>
      </c>
      <c r="CM131" s="279">
        <v>183</v>
      </c>
      <c r="CN131" s="279">
        <v>604249.99601047614</v>
      </c>
      <c r="CO131" s="279">
        <v>848078.69262593635</v>
      </c>
      <c r="CP131" s="279">
        <v>0</v>
      </c>
      <c r="CQ131" s="279">
        <v>0</v>
      </c>
      <c r="CR131" s="279">
        <v>0</v>
      </c>
      <c r="CS131" s="279">
        <v>0</v>
      </c>
      <c r="CT131" s="279">
        <v>0</v>
      </c>
      <c r="CU131" s="279">
        <v>0</v>
      </c>
      <c r="CV131" s="279">
        <v>0</v>
      </c>
      <c r="CW131" s="279">
        <v>2</v>
      </c>
      <c r="CX131" s="279">
        <v>27384.055530732978</v>
      </c>
      <c r="CY131" s="279">
        <v>0</v>
      </c>
      <c r="CZ131" s="279">
        <v>0</v>
      </c>
      <c r="DA131" s="279">
        <v>1537367.41</v>
      </c>
      <c r="DB131" s="279">
        <v>187728445</v>
      </c>
      <c r="DC131" s="279">
        <v>1877.2844499999999</v>
      </c>
      <c r="DD131" s="279">
        <v>358458.15</v>
      </c>
      <c r="DE131" s="279">
        <v>0</v>
      </c>
      <c r="DF131" s="279">
        <v>85</v>
      </c>
      <c r="DG131" s="279">
        <v>9638857.5435393676</v>
      </c>
      <c r="DH131" s="279">
        <v>0</v>
      </c>
      <c r="DI131" s="279">
        <v>0</v>
      </c>
      <c r="DJ131" s="279">
        <v>0</v>
      </c>
      <c r="DK131" s="279">
        <v>0</v>
      </c>
      <c r="DL131" s="279">
        <v>587589.42528291629</v>
      </c>
      <c r="DM131" s="279">
        <v>72513</v>
      </c>
      <c r="DN131" s="279">
        <v>50936.109413244609</v>
      </c>
      <c r="DO131" s="279">
        <v>27</v>
      </c>
      <c r="DP131" s="279">
        <v>85881.552790125585</v>
      </c>
      <c r="DQ131" s="279">
        <v>0</v>
      </c>
      <c r="DR131" s="279">
        <v>0</v>
      </c>
      <c r="DS131" s="279">
        <v>126501</v>
      </c>
      <c r="DT131" s="279">
        <v>313.44210526315788</v>
      </c>
      <c r="DU131" s="279">
        <v>108895.07166036069</v>
      </c>
      <c r="DV131" s="279">
        <v>4440244.333333334</v>
      </c>
      <c r="DW131" s="279">
        <v>-1197821.6682574197</v>
      </c>
      <c r="DX131" s="279">
        <v>7246357.5620153509</v>
      </c>
      <c r="DY131" s="279">
        <v>166834.89592068491</v>
      </c>
      <c r="DZ131" s="279">
        <v>158920972.1787973</v>
      </c>
      <c r="EA131" s="279">
        <v>1409356.0770543371</v>
      </c>
      <c r="EB131" s="279">
        <v>374524</v>
      </c>
      <c r="EC131" s="279">
        <v>35305</v>
      </c>
      <c r="ED131" s="279">
        <v>-34918.40675115784</v>
      </c>
      <c r="EE131" s="279">
        <v>0</v>
      </c>
      <c r="EF131" s="279">
        <v>160705238.8491005</v>
      </c>
      <c r="EG131" s="279">
        <v>159167871.43910047</v>
      </c>
      <c r="EH131" s="279">
        <v>33757</v>
      </c>
      <c r="EI131" s="279">
        <v>1668967.7861078731</v>
      </c>
      <c r="EJ131" s="279">
        <v>72847620.293829322</v>
      </c>
      <c r="EL131" s="518"/>
    </row>
    <row r="132" spans="1:142" x14ac:dyDescent="0.2">
      <c r="BV132" s="282"/>
      <c r="DO132" s="282"/>
      <c r="EL132" s="518"/>
    </row>
    <row r="133" spans="1:142" x14ac:dyDescent="0.2">
      <c r="BV133" s="282"/>
      <c r="DO133" s="282"/>
      <c r="EL133" s="518"/>
    </row>
    <row r="134" spans="1:142" x14ac:dyDescent="0.2">
      <c r="BV134" s="282"/>
      <c r="DO134" s="282"/>
      <c r="EL134" s="518"/>
    </row>
    <row r="135" spans="1:142" x14ac:dyDescent="0.2">
      <c r="BV135" s="282"/>
      <c r="DO135" s="282"/>
      <c r="EL135" s="518"/>
    </row>
    <row r="136" spans="1:142" x14ac:dyDescent="0.2">
      <c r="BV136" s="282"/>
      <c r="DO136" s="282"/>
      <c r="EL136" s="518"/>
    </row>
    <row r="137" spans="1:142" x14ac:dyDescent="0.2">
      <c r="BV137" s="282"/>
      <c r="DO137" s="282"/>
      <c r="EL137" s="518"/>
    </row>
    <row r="138" spans="1:142" x14ac:dyDescent="0.2">
      <c r="DO138" s="282"/>
      <c r="EL138" s="518"/>
    </row>
    <row r="139" spans="1:142" x14ac:dyDescent="0.2">
      <c r="DO139" s="282"/>
      <c r="EL139" s="518"/>
    </row>
    <row r="140" spans="1:142" x14ac:dyDescent="0.2">
      <c r="DO140" s="282"/>
      <c r="EL140" s="518"/>
    </row>
    <row r="141" spans="1:142" x14ac:dyDescent="0.2">
      <c r="DO141" s="282"/>
      <c r="EL141" s="518"/>
    </row>
    <row r="142" spans="1:142" x14ac:dyDescent="0.2">
      <c r="DO142" s="282"/>
      <c r="EL142" s="518"/>
    </row>
    <row r="143" spans="1:142" x14ac:dyDescent="0.2">
      <c r="DO143" s="282"/>
      <c r="EL143" s="518"/>
    </row>
    <row r="144" spans="1:142" x14ac:dyDescent="0.2">
      <c r="DO144" s="282"/>
      <c r="EL144" s="518"/>
    </row>
    <row r="145" spans="119:142" x14ac:dyDescent="0.2">
      <c r="DO145" s="282"/>
      <c r="EL145" s="518"/>
    </row>
    <row r="146" spans="119:142" x14ac:dyDescent="0.2">
      <c r="DO146" s="282"/>
      <c r="EL146" s="518"/>
    </row>
    <row r="147" spans="119:142" x14ac:dyDescent="0.2">
      <c r="DO147" s="282"/>
      <c r="EL147" s="518"/>
    </row>
    <row r="148" spans="119:142" x14ac:dyDescent="0.2">
      <c r="DO148" s="282"/>
      <c r="EL148" s="518"/>
    </row>
    <row r="149" spans="119:142" x14ac:dyDescent="0.2">
      <c r="DO149" s="282"/>
      <c r="EL149" s="518"/>
    </row>
    <row r="150" spans="119:142" x14ac:dyDescent="0.2">
      <c r="EL150" s="518"/>
    </row>
    <row r="151" spans="119:142" x14ac:dyDescent="0.2">
      <c r="EL151" s="518"/>
    </row>
    <row r="152" spans="119:142" x14ac:dyDescent="0.2">
      <c r="EL152" s="518"/>
    </row>
    <row r="153" spans="119:142" x14ac:dyDescent="0.2">
      <c r="EL153" s="518"/>
    </row>
    <row r="154" spans="119:142" x14ac:dyDescent="0.2">
      <c r="EL154" s="518"/>
    </row>
  </sheetData>
  <sheetProtection password="EF5C" sheet="1" objects="1" scenarios="1"/>
  <mergeCells count="1">
    <mergeCell ref="EN6:EX6"/>
  </mergeCells>
  <phoneticPr fontId="11" type="noConversion"/>
  <pageMargins left="0.31" right="0.22" top="1" bottom="1" header="0.5" footer="0.5"/>
  <pageSetup paperSize="9" scale="10"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52"/>
  <sheetViews>
    <sheetView showGridLines="0" zoomScale="75" zoomScaleNormal="75" workbookViewId="0">
      <selection sqref="A1:XFD1048576"/>
    </sheetView>
  </sheetViews>
  <sheetFormatPr defaultRowHeight="12.75" x14ac:dyDescent="0.2"/>
  <cols>
    <col min="1" max="1" width="4.42578125" style="646" customWidth="1"/>
    <col min="2" max="2" width="18.5703125" style="646" bestFit="1" customWidth="1"/>
    <col min="3" max="3" width="3.5703125" style="646" customWidth="1"/>
    <col min="4" max="4" width="23.85546875" style="646" customWidth="1"/>
    <col min="5" max="5" width="18.85546875" style="646" customWidth="1"/>
    <col min="6" max="6" width="2.28515625" style="646" customWidth="1"/>
    <col min="7" max="7" width="18.7109375" style="646" customWidth="1"/>
    <col min="8" max="8" width="2.28515625" style="646" customWidth="1"/>
    <col min="9" max="9" width="19.5703125" style="646" customWidth="1"/>
    <col min="10" max="10" width="11.140625" style="646" bestFit="1" customWidth="1"/>
    <col min="11" max="11" width="9.140625" style="646"/>
    <col min="12" max="12" width="14.42578125" style="646" bestFit="1" customWidth="1"/>
    <col min="13" max="13" width="13.7109375" style="646" customWidth="1"/>
    <col min="14" max="14" width="12.5703125" style="646" bestFit="1" customWidth="1"/>
    <col min="15" max="15" width="9.140625" style="646"/>
    <col min="16" max="16" width="14.42578125" style="646" bestFit="1" customWidth="1"/>
    <col min="17" max="16384" width="9.140625" style="646"/>
  </cols>
  <sheetData>
    <row r="1" spans="1:16" ht="36.75" customHeight="1" x14ac:dyDescent="0.35">
      <c r="G1" s="647"/>
      <c r="L1" s="1395" t="s">
        <v>902</v>
      </c>
      <c r="M1" s="1396"/>
      <c r="N1" s="1396"/>
      <c r="O1" s="1396"/>
      <c r="P1" s="1397"/>
    </row>
    <row r="2" spans="1:16" ht="18" x14ac:dyDescent="0.25">
      <c r="A2" s="648" t="s">
        <v>903</v>
      </c>
      <c r="L2" s="649"/>
      <c r="M2" s="650"/>
      <c r="N2" s="650"/>
      <c r="O2" s="650"/>
      <c r="P2" s="651"/>
    </row>
    <row r="3" spans="1:16" x14ac:dyDescent="0.2">
      <c r="L3" s="649"/>
      <c r="M3" s="650"/>
      <c r="N3" s="650"/>
      <c r="O3" s="650"/>
      <c r="P3" s="651"/>
    </row>
    <row r="4" spans="1:16" s="652" customFormat="1" ht="45" customHeight="1" x14ac:dyDescent="0.2">
      <c r="B4" s="653"/>
      <c r="C4" s="653"/>
      <c r="D4" s="653"/>
      <c r="E4" s="654" t="s">
        <v>905</v>
      </c>
      <c r="F4" s="653"/>
      <c r="G4" s="654" t="s">
        <v>906</v>
      </c>
      <c r="I4" s="655" t="s">
        <v>904</v>
      </c>
      <c r="L4" s="656" t="s">
        <v>905</v>
      </c>
      <c r="M4" s="657"/>
      <c r="N4" s="658" t="s">
        <v>906</v>
      </c>
      <c r="O4" s="659"/>
      <c r="P4" s="660" t="s">
        <v>904</v>
      </c>
    </row>
    <row r="5" spans="1:16" ht="6" customHeight="1" x14ac:dyDescent="0.2">
      <c r="E5" s="661"/>
      <c r="G5" s="661"/>
      <c r="L5" s="662"/>
      <c r="M5" s="650"/>
      <c r="N5" s="663"/>
      <c r="O5" s="650"/>
      <c r="P5" s="651"/>
    </row>
    <row r="6" spans="1:16" ht="13.5" customHeight="1" x14ac:dyDescent="0.2">
      <c r="B6" s="646" t="s">
        <v>907</v>
      </c>
      <c r="E6" s="664">
        <v>3058789.2980621476</v>
      </c>
      <c r="G6" s="664">
        <v>3026715.8280621478</v>
      </c>
      <c r="I6" s="665">
        <v>3058789.2980621476</v>
      </c>
      <c r="L6" s="666">
        <v>3058789.2980621476</v>
      </c>
      <c r="M6" s="650"/>
      <c r="N6" s="667">
        <v>3026715.8280621478</v>
      </c>
      <c r="O6" s="650"/>
      <c r="P6" s="668">
        <v>3058789.2980621476</v>
      </c>
    </row>
    <row r="7" spans="1:16" ht="13.5" customHeight="1" x14ac:dyDescent="0.2">
      <c r="B7" s="646" t="s">
        <v>908</v>
      </c>
      <c r="E7" s="664">
        <v>85586031.604184896</v>
      </c>
      <c r="G7" s="664">
        <v>84482128.864184886</v>
      </c>
      <c r="I7" s="665">
        <v>4549413.0779999988</v>
      </c>
      <c r="J7" s="665">
        <v>156141155.61103833</v>
      </c>
      <c r="L7" s="666">
        <v>85586031.604184896</v>
      </c>
      <c r="M7" s="650"/>
      <c r="N7" s="667">
        <v>84482128.864184886</v>
      </c>
      <c r="O7" s="650"/>
      <c r="P7" s="668">
        <v>4549413.0779999988</v>
      </c>
    </row>
    <row r="8" spans="1:16" ht="13.5" customHeight="1" x14ac:dyDescent="0.2">
      <c r="B8" s="646" t="s">
        <v>909</v>
      </c>
      <c r="E8" s="664">
        <v>72060417.946853459</v>
      </c>
      <c r="G8" s="664">
        <v>71659026.746853441</v>
      </c>
      <c r="I8" s="665">
        <v>0</v>
      </c>
      <c r="L8" s="666">
        <v>67493672.613520131</v>
      </c>
      <c r="M8" s="650"/>
      <c r="N8" s="667">
        <v>67092281.41352012</v>
      </c>
      <c r="O8" s="650"/>
      <c r="P8" s="668">
        <v>0</v>
      </c>
    </row>
    <row r="9" spans="1:16" ht="13.5" customHeight="1" x14ac:dyDescent="0.2">
      <c r="B9" s="646" t="s">
        <v>910</v>
      </c>
      <c r="E9" s="664">
        <v>11487604.44054449</v>
      </c>
      <c r="G9" s="664">
        <v>11487604.44054449</v>
      </c>
      <c r="I9" s="665">
        <v>0</v>
      </c>
      <c r="L9" s="666">
        <v>11487604.44054449</v>
      </c>
      <c r="M9" s="650"/>
      <c r="N9" s="667">
        <v>11487604.44054449</v>
      </c>
      <c r="O9" s="650"/>
      <c r="P9" s="668">
        <v>0</v>
      </c>
    </row>
    <row r="10" spans="1:16" ht="13.5" customHeight="1" x14ac:dyDescent="0.2">
      <c r="B10" s="646" t="s">
        <v>911</v>
      </c>
      <c r="E10" s="664">
        <v>3428674.9295138489</v>
      </c>
      <c r="G10" s="664">
        <v>3428674.9295138489</v>
      </c>
      <c r="I10" s="669">
        <v>3428674.9295138489</v>
      </c>
      <c r="L10" s="666">
        <v>3428674.9295138489</v>
      </c>
      <c r="M10" s="650"/>
      <c r="N10" s="667">
        <v>3428674.9295138489</v>
      </c>
      <c r="O10" s="650"/>
      <c r="P10" s="668">
        <v>3428674.9295138489</v>
      </c>
    </row>
    <row r="11" spans="1:16" ht="13.5" customHeight="1" x14ac:dyDescent="0.2">
      <c r="B11" s="670"/>
      <c r="C11" s="670"/>
      <c r="D11" s="670"/>
      <c r="E11" s="671"/>
      <c r="F11" s="670"/>
      <c r="G11" s="672"/>
      <c r="I11" s="670"/>
      <c r="L11" s="673"/>
      <c r="M11" s="674"/>
      <c r="N11" s="675"/>
      <c r="O11" s="650"/>
      <c r="P11" s="676"/>
    </row>
    <row r="12" spans="1:16" ht="13.5" customHeight="1" x14ac:dyDescent="0.2">
      <c r="B12" s="677" t="s">
        <v>912</v>
      </c>
      <c r="E12" s="678">
        <v>175621518.21915883</v>
      </c>
      <c r="G12" s="678">
        <v>174084150.8091588</v>
      </c>
      <c r="I12" s="678">
        <v>11036877.305575995</v>
      </c>
      <c r="L12" s="679">
        <v>171054772.88582548</v>
      </c>
      <c r="M12" s="680"/>
      <c r="N12" s="680">
        <v>169517405.47582549</v>
      </c>
      <c r="O12" s="680"/>
      <c r="P12" s="681">
        <v>11036877.305575995</v>
      </c>
    </row>
    <row r="13" spans="1:16" ht="13.5" customHeight="1" thickBot="1" x14ac:dyDescent="0.25">
      <c r="L13" s="682"/>
      <c r="M13" s="683"/>
      <c r="N13" s="683"/>
      <c r="O13" s="683"/>
      <c r="P13" s="684"/>
    </row>
    <row r="14" spans="1:16" ht="13.5" customHeight="1" x14ac:dyDescent="0.2">
      <c r="D14" s="123" t="s">
        <v>913</v>
      </c>
      <c r="E14" s="124">
        <v>170880350</v>
      </c>
      <c r="F14" s="646" t="s">
        <v>914</v>
      </c>
      <c r="I14" s="611"/>
      <c r="L14" s="649" t="s">
        <v>913</v>
      </c>
      <c r="M14" s="650">
        <v>170880350</v>
      </c>
      <c r="N14" s="685" t="s">
        <v>914</v>
      </c>
      <c r="O14" s="650"/>
      <c r="P14" s="651"/>
    </row>
    <row r="15" spans="1:16" ht="13.5" customHeight="1" x14ac:dyDescent="0.2">
      <c r="D15" s="677" t="s">
        <v>915</v>
      </c>
      <c r="E15" s="686"/>
      <c r="I15" s="611"/>
      <c r="L15" s="649"/>
      <c r="M15" s="650"/>
      <c r="N15" s="685"/>
      <c r="O15" s="650"/>
      <c r="P15" s="651"/>
    </row>
    <row r="16" spans="1:16" ht="13.5" customHeight="1" x14ac:dyDescent="0.2">
      <c r="D16" s="123" t="s">
        <v>916</v>
      </c>
      <c r="E16" s="124">
        <v>5034145</v>
      </c>
      <c r="F16" s="687" t="s">
        <v>917</v>
      </c>
      <c r="G16" s="687"/>
      <c r="H16" s="687"/>
      <c r="I16" s="688"/>
      <c r="L16" s="649"/>
      <c r="M16" s="650"/>
      <c r="N16" s="685"/>
      <c r="O16" s="650"/>
      <c r="P16" s="651"/>
    </row>
    <row r="17" spans="2:16" ht="13.5" customHeight="1" x14ac:dyDescent="0.2">
      <c r="D17" s="677" t="s">
        <v>142</v>
      </c>
      <c r="E17" s="686"/>
      <c r="I17" s="611"/>
      <c r="L17" s="649"/>
      <c r="M17" s="650"/>
      <c r="N17" s="685"/>
      <c r="O17" s="650"/>
      <c r="P17" s="651"/>
    </row>
    <row r="18" spans="2:16" ht="13.5" customHeight="1" x14ac:dyDescent="0.2">
      <c r="D18" s="123" t="s">
        <v>918</v>
      </c>
      <c r="E18" s="124"/>
      <c r="F18" s="646" t="s">
        <v>919</v>
      </c>
      <c r="I18" s="611"/>
      <c r="L18" s="649"/>
      <c r="M18" s="650"/>
      <c r="N18" s="685"/>
      <c r="O18" s="650"/>
      <c r="P18" s="651"/>
    </row>
    <row r="19" spans="2:16" ht="13.5" customHeight="1" x14ac:dyDescent="0.2">
      <c r="D19" s="123" t="s">
        <v>255</v>
      </c>
      <c r="E19" s="124">
        <v>20000</v>
      </c>
      <c r="F19" s="646" t="s">
        <v>920</v>
      </c>
      <c r="I19" s="611"/>
      <c r="L19" s="649" t="s">
        <v>255</v>
      </c>
      <c r="M19" s="689">
        <v>20000</v>
      </c>
      <c r="N19" s="685" t="s">
        <v>920</v>
      </c>
      <c r="O19" s="650"/>
      <c r="P19" s="651"/>
    </row>
    <row r="20" spans="2:16" ht="13.5" customHeight="1" x14ac:dyDescent="0.2">
      <c r="D20" s="123" t="s">
        <v>256</v>
      </c>
      <c r="E20" s="124">
        <v>88085</v>
      </c>
      <c r="F20" s="646" t="s">
        <v>921</v>
      </c>
      <c r="I20" s="611"/>
      <c r="L20" s="649" t="s">
        <v>256</v>
      </c>
      <c r="M20" s="689">
        <v>88085</v>
      </c>
      <c r="N20" s="685" t="s">
        <v>921</v>
      </c>
      <c r="O20" s="650"/>
      <c r="P20" s="651"/>
    </row>
    <row r="21" spans="2:16" ht="13.5" customHeight="1" x14ac:dyDescent="0.2">
      <c r="D21" s="123" t="s">
        <v>257</v>
      </c>
      <c r="E21" s="124">
        <v>134882</v>
      </c>
      <c r="F21" s="646" t="s">
        <v>922</v>
      </c>
      <c r="I21" s="611"/>
      <c r="L21" s="649" t="s">
        <v>257</v>
      </c>
      <c r="M21" s="689">
        <v>134882</v>
      </c>
      <c r="N21" s="685" t="s">
        <v>922</v>
      </c>
      <c r="O21" s="650"/>
      <c r="P21" s="651"/>
    </row>
    <row r="22" spans="2:16" ht="13.5" customHeight="1" x14ac:dyDescent="0.2">
      <c r="D22" s="123" t="s">
        <v>258</v>
      </c>
      <c r="E22" s="124"/>
      <c r="F22" s="646" t="s">
        <v>923</v>
      </c>
      <c r="I22" s="611"/>
      <c r="L22" s="649" t="s">
        <v>258</v>
      </c>
      <c r="M22" s="689"/>
      <c r="N22" s="685" t="s">
        <v>923</v>
      </c>
      <c r="O22" s="650"/>
      <c r="P22" s="651"/>
    </row>
    <row r="23" spans="2:16" ht="13.5" customHeight="1" x14ac:dyDescent="0.2">
      <c r="D23" s="123" t="s">
        <v>259</v>
      </c>
      <c r="E23" s="124">
        <v>50000</v>
      </c>
      <c r="I23" s="611"/>
      <c r="L23" s="649" t="s">
        <v>259</v>
      </c>
      <c r="M23" s="689">
        <v>50000</v>
      </c>
      <c r="N23" s="685"/>
      <c r="O23" s="650"/>
      <c r="P23" s="651"/>
    </row>
    <row r="24" spans="2:16" ht="13.5" customHeight="1" x14ac:dyDescent="0.2">
      <c r="D24" s="123" t="s">
        <v>924</v>
      </c>
      <c r="E24" s="124">
        <v>0</v>
      </c>
      <c r="F24" s="646" t="s">
        <v>925</v>
      </c>
      <c r="L24" s="649" t="s">
        <v>924</v>
      </c>
      <c r="M24" s="689">
        <v>0</v>
      </c>
      <c r="N24" s="685" t="s">
        <v>925</v>
      </c>
      <c r="O24" s="650"/>
      <c r="P24" s="651"/>
    </row>
    <row r="25" spans="2:16" ht="13.5" customHeight="1" thickBot="1" x14ac:dyDescent="0.25">
      <c r="D25" s="646" t="s">
        <v>681</v>
      </c>
      <c r="E25" s="665" t="s">
        <v>681</v>
      </c>
      <c r="L25" s="649"/>
      <c r="M25" s="690">
        <v>170587383</v>
      </c>
      <c r="N25" s="1399" t="s">
        <v>926</v>
      </c>
      <c r="O25" s="1399"/>
      <c r="P25" s="1400"/>
    </row>
    <row r="26" spans="2:16" ht="13.5" customHeight="1" thickTop="1" thickBot="1" x14ac:dyDescent="0.25">
      <c r="E26" s="691">
        <v>175621528</v>
      </c>
      <c r="I26" s="691"/>
      <c r="L26" s="682"/>
      <c r="M26" s="683"/>
      <c r="N26" s="1401"/>
      <c r="O26" s="1401"/>
      <c r="P26" s="1402"/>
    </row>
    <row r="27" spans="2:16" ht="13.5" customHeight="1" x14ac:dyDescent="0.2">
      <c r="E27" s="691"/>
      <c r="L27" s="692"/>
      <c r="M27" s="692"/>
      <c r="N27" s="693"/>
      <c r="O27" s="692"/>
      <c r="P27" s="692"/>
    </row>
    <row r="28" spans="2:16" ht="13.5" customHeight="1" x14ac:dyDescent="0.2">
      <c r="B28" s="677" t="s">
        <v>927</v>
      </c>
      <c r="E28" s="678">
        <v>9.7808411717414856</v>
      </c>
      <c r="H28" s="665"/>
      <c r="I28" s="678"/>
      <c r="L28" s="694"/>
      <c r="M28" s="692"/>
      <c r="N28" s="693"/>
      <c r="O28" s="692"/>
      <c r="P28" s="692"/>
    </row>
    <row r="29" spans="2:16" ht="13.5" customHeight="1" x14ac:dyDescent="0.2">
      <c r="B29" s="677" t="s">
        <v>681</v>
      </c>
      <c r="E29" s="678" t="s">
        <v>681</v>
      </c>
      <c r="H29" s="665"/>
      <c r="L29" s="694"/>
      <c r="M29" s="692"/>
      <c r="N29" s="693"/>
      <c r="O29" s="692"/>
      <c r="P29" s="692"/>
    </row>
    <row r="30" spans="2:16" ht="13.5" customHeight="1" x14ac:dyDescent="0.2">
      <c r="B30" s="677" t="s">
        <v>681</v>
      </c>
      <c r="E30" s="695"/>
      <c r="H30" s="665"/>
      <c r="L30" s="694"/>
      <c r="M30" s="692"/>
      <c r="N30" s="693"/>
      <c r="O30" s="692"/>
      <c r="P30" s="692"/>
    </row>
    <row r="31" spans="2:16" ht="81" customHeight="1" x14ac:dyDescent="0.2">
      <c r="E31" s="696">
        <v>160705238.8491005</v>
      </c>
      <c r="G31" s="665"/>
      <c r="L31" s="694"/>
      <c r="M31" s="1398"/>
      <c r="N31" s="1398"/>
      <c r="O31" s="1398"/>
      <c r="P31" s="692"/>
    </row>
    <row r="32" spans="2:16" x14ac:dyDescent="0.2">
      <c r="E32" s="696"/>
      <c r="L32" s="694"/>
      <c r="M32" s="692"/>
      <c r="N32" s="693"/>
      <c r="O32" s="692"/>
      <c r="P32" s="692"/>
    </row>
    <row r="33" spans="2:16" x14ac:dyDescent="0.2">
      <c r="E33" s="696"/>
      <c r="L33" s="694"/>
      <c r="M33" s="692"/>
      <c r="N33" s="693"/>
      <c r="O33" s="692"/>
      <c r="P33" s="692"/>
    </row>
    <row r="34" spans="2:16" x14ac:dyDescent="0.2">
      <c r="D34" s="677"/>
      <c r="E34" s="697"/>
      <c r="L34" s="694"/>
      <c r="M34" s="692"/>
      <c r="N34" s="692"/>
      <c r="O34" s="692"/>
      <c r="P34" s="692"/>
    </row>
    <row r="35" spans="2:16" x14ac:dyDescent="0.2">
      <c r="E35" s="696"/>
      <c r="L35" s="692"/>
      <c r="M35" s="692"/>
      <c r="N35" s="692"/>
      <c r="O35" s="692"/>
      <c r="P35" s="692"/>
    </row>
    <row r="36" spans="2:16" x14ac:dyDescent="0.2">
      <c r="L36" s="692"/>
      <c r="M36" s="692"/>
      <c r="N36" s="692"/>
      <c r="O36" s="692"/>
      <c r="P36" s="692"/>
    </row>
    <row r="37" spans="2:16" x14ac:dyDescent="0.2">
      <c r="L37" s="692"/>
      <c r="M37" s="692"/>
      <c r="N37" s="692"/>
      <c r="O37" s="692"/>
      <c r="P37" s="692"/>
    </row>
    <row r="38" spans="2:16" x14ac:dyDescent="0.2">
      <c r="B38" s="698"/>
      <c r="L38" s="692"/>
      <c r="M38" s="692"/>
      <c r="N38" s="692"/>
      <c r="O38" s="692"/>
      <c r="P38" s="692"/>
    </row>
    <row r="39" spans="2:16" x14ac:dyDescent="0.2">
      <c r="L39" s="692"/>
      <c r="M39" s="692"/>
      <c r="N39" s="692"/>
      <c r="O39" s="692"/>
      <c r="P39" s="692"/>
    </row>
    <row r="40" spans="2:16" x14ac:dyDescent="0.2">
      <c r="L40" s="692"/>
      <c r="M40" s="692"/>
      <c r="N40" s="692"/>
      <c r="O40" s="692"/>
      <c r="P40" s="692"/>
    </row>
    <row r="45" spans="2:16" ht="25.5" x14ac:dyDescent="0.35">
      <c r="B45" s="647"/>
    </row>
    <row r="48" spans="2:16" x14ac:dyDescent="0.2">
      <c r="B48" s="123"/>
    </row>
    <row r="50" spans="2:2" x14ac:dyDescent="0.2">
      <c r="B50" s="123" t="s">
        <v>928</v>
      </c>
    </row>
    <row r="51" spans="2:2" x14ac:dyDescent="0.2">
      <c r="B51" s="123" t="s">
        <v>929</v>
      </c>
    </row>
    <row r="52" spans="2:2" x14ac:dyDescent="0.2">
      <c r="B52" s="123" t="s">
        <v>930</v>
      </c>
    </row>
  </sheetData>
  <sheetProtection password="EF5C" sheet="1" objects="1" scenarios="1"/>
  <mergeCells count="3">
    <mergeCell ref="L1:P1"/>
    <mergeCell ref="M31:O31"/>
    <mergeCell ref="N25:P26"/>
  </mergeCells>
  <phoneticPr fontId="11" type="noConversion"/>
  <pageMargins left="0.75" right="0.75" top="1" bottom="1" header="0.5" footer="0.5"/>
  <pageSetup paperSize="9" scale="56" orientation="landscape" r:id="rId1"/>
  <headerFooter alignWithMargins="0">
    <oddHeader>&amp;L2012-13 Formula Budget</oddHeader>
    <oddFooter>&amp;L&amp;Z&amp;F&amp;R&amp;D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3"/>
  <sheetViews>
    <sheetView zoomScaleNormal="100" workbookViewId="0">
      <pane xSplit="3" ySplit="1" topLeftCell="O2" activePane="bottomRight" state="frozen"/>
      <selection activeCell="Q8" sqref="Q8"/>
      <selection pane="topRight" activeCell="Q8" sqref="Q8"/>
      <selection pane="bottomLeft" activeCell="Q8" sqref="Q8"/>
      <selection pane="bottomRight" activeCell="S11" sqref="S11"/>
    </sheetView>
  </sheetViews>
  <sheetFormatPr defaultRowHeight="12.75" x14ac:dyDescent="0.2"/>
  <cols>
    <col min="1" max="1" width="38.28515625" bestFit="1" customWidth="1"/>
    <col min="2" max="2" width="11" style="1174" customWidth="1"/>
    <col min="3" max="3" width="9.5703125" style="1174" customWidth="1"/>
    <col min="4" max="4" width="9.5703125" style="1175" customWidth="1"/>
    <col min="5" max="5" width="20.7109375" style="1174" customWidth="1"/>
    <col min="6" max="6" width="20.7109375" style="6" customWidth="1"/>
    <col min="7" max="7" width="20.7109375" style="1174" customWidth="1"/>
    <col min="8" max="8" width="20.7109375" style="6" customWidth="1"/>
    <col min="9" max="9" width="20.7109375" style="1174" customWidth="1"/>
    <col min="10" max="13" width="20.7109375" style="6" customWidth="1"/>
    <col min="14" max="14" width="20.7109375" style="1174" customWidth="1"/>
    <col min="15" max="18" width="20.7109375" style="1175" customWidth="1"/>
    <col min="19" max="20" width="20.7109375" style="6" customWidth="1"/>
    <col min="21" max="21" width="11.140625" bestFit="1" customWidth="1"/>
  </cols>
  <sheetData>
    <row r="1" spans="1:22" s="16" customFormat="1" ht="51" x14ac:dyDescent="0.2">
      <c r="B1" s="813"/>
      <c r="C1" s="699" t="s">
        <v>1406</v>
      </c>
      <c r="D1" s="813" t="s">
        <v>1460</v>
      </c>
      <c r="E1" s="1180" t="s">
        <v>1333</v>
      </c>
      <c r="F1" s="1158" t="s">
        <v>1409</v>
      </c>
      <c r="G1" s="1149" t="s">
        <v>1432</v>
      </c>
      <c r="H1" s="1158" t="s">
        <v>1431</v>
      </c>
      <c r="I1" s="1149" t="s">
        <v>1433</v>
      </c>
      <c r="J1" s="1158" t="s">
        <v>1434</v>
      </c>
      <c r="K1" s="1182" t="s">
        <v>1435</v>
      </c>
      <c r="L1" s="1158" t="s">
        <v>1449</v>
      </c>
      <c r="M1" s="1158" t="s">
        <v>1437</v>
      </c>
      <c r="N1" s="699"/>
      <c r="O1" s="699" t="s">
        <v>650</v>
      </c>
      <c r="P1" s="1076" t="s">
        <v>1348</v>
      </c>
      <c r="Q1" s="3" t="s">
        <v>1450</v>
      </c>
      <c r="R1" s="3" t="s">
        <v>1021</v>
      </c>
      <c r="S1" s="1162" t="s">
        <v>1412</v>
      </c>
      <c r="T1" s="1158" t="s">
        <v>1436</v>
      </c>
      <c r="V1" s="813"/>
    </row>
    <row r="2" spans="1:22" x14ac:dyDescent="0.2">
      <c r="A2" t="s">
        <v>1335</v>
      </c>
      <c r="B2" s="1153"/>
      <c r="C2">
        <v>7026</v>
      </c>
      <c r="D2" s="1153"/>
      <c r="E2" s="812">
        <v>85</v>
      </c>
      <c r="F2" s="1160">
        <v>850000</v>
      </c>
      <c r="H2" s="6">
        <v>0</v>
      </c>
      <c r="I2" s="1174">
        <v>80</v>
      </c>
      <c r="J2" s="6">
        <v>1326313.2114138093</v>
      </c>
      <c r="K2" s="1183">
        <v>5</v>
      </c>
      <c r="M2" s="6">
        <v>0</v>
      </c>
      <c r="N2" s="6"/>
      <c r="O2" s="6"/>
      <c r="Q2" s="147">
        <v>14873.883677298312</v>
      </c>
      <c r="R2" s="147">
        <v>-14873.883677298312</v>
      </c>
      <c r="S2" s="6">
        <v>2176313.2114138091</v>
      </c>
      <c r="T2" s="6">
        <v>69295.003945514341</v>
      </c>
      <c r="V2" s="1153"/>
    </row>
    <row r="3" spans="1:22" x14ac:dyDescent="0.2">
      <c r="A3" t="s">
        <v>1337</v>
      </c>
      <c r="B3" s="1153"/>
      <c r="C3">
        <v>7027</v>
      </c>
      <c r="D3" s="1153"/>
      <c r="E3" s="812">
        <v>92</v>
      </c>
      <c r="F3" s="1160">
        <v>920000</v>
      </c>
      <c r="H3" s="6">
        <v>0</v>
      </c>
      <c r="I3" s="1174">
        <v>88</v>
      </c>
      <c r="J3" s="6">
        <v>990376.11950386292</v>
      </c>
      <c r="K3" s="1183">
        <v>4</v>
      </c>
      <c r="L3" s="6">
        <v>376295.00000000006</v>
      </c>
      <c r="M3" s="6">
        <v>0</v>
      </c>
      <c r="N3" s="6"/>
      <c r="O3" s="6"/>
      <c r="P3" s="1175">
        <v>18904</v>
      </c>
      <c r="Q3" s="147">
        <v>16098.791744840526</v>
      </c>
      <c r="R3" s="147">
        <v>-16098.791744840526</v>
      </c>
      <c r="S3" s="6">
        <v>2305575.1195038632</v>
      </c>
      <c r="T3" s="6">
        <v>38681.679057818212</v>
      </c>
      <c r="V3" s="1153"/>
    </row>
    <row r="4" spans="1:22" x14ac:dyDescent="0.2">
      <c r="A4" t="s">
        <v>1339</v>
      </c>
      <c r="B4" s="1153"/>
      <c r="C4">
        <v>7025</v>
      </c>
      <c r="D4" s="1153"/>
      <c r="E4" s="812">
        <v>95</v>
      </c>
      <c r="F4" s="1160">
        <v>950000</v>
      </c>
      <c r="G4" s="1174">
        <v>4</v>
      </c>
      <c r="H4" s="6">
        <v>40000</v>
      </c>
      <c r="I4" s="1174">
        <v>89</v>
      </c>
      <c r="J4" s="6">
        <v>428545.62866764737</v>
      </c>
      <c r="K4" s="1183">
        <v>6</v>
      </c>
      <c r="M4" s="6">
        <v>0</v>
      </c>
      <c r="N4" s="6"/>
      <c r="O4" s="1337"/>
      <c r="P4" s="36">
        <v>6998</v>
      </c>
      <c r="Q4" s="147">
        <v>16623.752345215758</v>
      </c>
      <c r="R4" s="147">
        <v>-16623.752345215758</v>
      </c>
      <c r="S4" s="6">
        <v>1425543.6286676475</v>
      </c>
      <c r="T4" s="6">
        <v>31092.484245567859</v>
      </c>
      <c r="V4" s="1153"/>
    </row>
    <row r="5" spans="1:22" x14ac:dyDescent="0.2">
      <c r="A5" t="s">
        <v>1341</v>
      </c>
      <c r="B5" s="1153"/>
      <c r="C5">
        <v>7024</v>
      </c>
      <c r="D5" s="1153"/>
      <c r="E5" s="812">
        <v>89</v>
      </c>
      <c r="F5" s="1160">
        <v>890000</v>
      </c>
      <c r="H5" s="6">
        <v>0</v>
      </c>
      <c r="I5" s="1174">
        <v>89</v>
      </c>
      <c r="J5" s="6">
        <v>899734.93429869623</v>
      </c>
      <c r="K5" s="1183">
        <v>0</v>
      </c>
      <c r="M5" s="6">
        <v>0</v>
      </c>
      <c r="N5" s="6"/>
      <c r="O5" s="1337"/>
      <c r="P5" s="36">
        <v>39276</v>
      </c>
      <c r="Q5" s="147">
        <v>15573.83114446529</v>
      </c>
      <c r="R5" s="147">
        <v>-15573.83114446529</v>
      </c>
      <c r="S5" s="6">
        <v>1829010.9342986962</v>
      </c>
      <c r="T5" s="6">
        <v>0</v>
      </c>
      <c r="V5" s="1153"/>
    </row>
    <row r="6" spans="1:22" x14ac:dyDescent="0.2">
      <c r="A6" t="s">
        <v>1343</v>
      </c>
      <c r="B6" s="1153"/>
      <c r="C6">
        <v>7021</v>
      </c>
      <c r="D6" s="1153"/>
      <c r="E6" s="812">
        <v>92</v>
      </c>
      <c r="F6" s="1160">
        <v>920000</v>
      </c>
      <c r="H6" s="6">
        <v>0</v>
      </c>
      <c r="I6" s="1174">
        <v>91</v>
      </c>
      <c r="J6" s="6">
        <v>876510.54916853271</v>
      </c>
      <c r="K6" s="1183">
        <v>1</v>
      </c>
      <c r="M6" s="6">
        <v>0</v>
      </c>
      <c r="N6" s="6"/>
      <c r="O6" s="1337">
        <v>78147</v>
      </c>
      <c r="P6" s="36">
        <v>17328</v>
      </c>
      <c r="Q6" s="147">
        <v>16098.791744840526</v>
      </c>
      <c r="R6" s="147">
        <v>-16098.791744840526</v>
      </c>
      <c r="S6" s="6">
        <v>1891985.5491685327</v>
      </c>
      <c r="T6" s="6">
        <v>6861.2225763202041</v>
      </c>
      <c r="V6" s="1153"/>
    </row>
    <row r="7" spans="1:22" x14ac:dyDescent="0.2">
      <c r="A7" t="s">
        <v>1038</v>
      </c>
      <c r="B7" s="1153"/>
      <c r="C7">
        <v>7029</v>
      </c>
      <c r="D7" s="1153"/>
      <c r="E7" s="1181">
        <v>80</v>
      </c>
      <c r="F7" s="1160">
        <v>800000</v>
      </c>
      <c r="H7" s="6">
        <v>0</v>
      </c>
      <c r="I7" s="1174">
        <v>80</v>
      </c>
      <c r="J7" s="6">
        <v>1375354</v>
      </c>
      <c r="K7" s="1183">
        <v>0</v>
      </c>
      <c r="M7" s="6">
        <v>0</v>
      </c>
      <c r="N7" s="6"/>
      <c r="O7" s="1337"/>
      <c r="P7" s="36"/>
      <c r="Q7" s="147">
        <v>13998.949343339589</v>
      </c>
      <c r="R7" s="147">
        <v>-13998.949343339589</v>
      </c>
      <c r="S7" s="6">
        <v>2175354</v>
      </c>
      <c r="T7" s="6">
        <v>0</v>
      </c>
      <c r="V7" s="1153"/>
    </row>
    <row r="8" spans="1:22" x14ac:dyDescent="0.2">
      <c r="A8" s="741" t="s">
        <v>1346</v>
      </c>
      <c r="B8" s="1153"/>
      <c r="C8">
        <v>1104</v>
      </c>
      <c r="D8" s="1153">
        <v>36</v>
      </c>
      <c r="E8" s="1181"/>
      <c r="F8" s="1160">
        <v>288000</v>
      </c>
      <c r="H8" s="6">
        <v>0</v>
      </c>
      <c r="I8" s="1174">
        <v>36</v>
      </c>
      <c r="J8" s="6">
        <v>553000</v>
      </c>
      <c r="K8" s="1183">
        <v>0</v>
      </c>
      <c r="M8" s="6">
        <v>0</v>
      </c>
      <c r="N8" s="6"/>
      <c r="O8" s="6"/>
      <c r="Q8" s="147">
        <v>0</v>
      </c>
      <c r="R8" s="147">
        <v>0</v>
      </c>
      <c r="S8" s="6">
        <v>841000</v>
      </c>
      <c r="T8" s="6">
        <v>0</v>
      </c>
      <c r="V8" s="1153"/>
    </row>
    <row r="9" spans="1:22" x14ac:dyDescent="0.2">
      <c r="A9" s="741" t="s">
        <v>1345</v>
      </c>
      <c r="B9" s="1153"/>
      <c r="C9">
        <v>1103</v>
      </c>
      <c r="D9" s="1153">
        <v>60</v>
      </c>
      <c r="E9" s="1181"/>
      <c r="F9" s="1160">
        <v>480000</v>
      </c>
      <c r="H9" s="6">
        <v>0</v>
      </c>
      <c r="I9" s="1174">
        <v>60</v>
      </c>
      <c r="J9" s="6">
        <v>1053334.8</v>
      </c>
      <c r="K9" s="1183">
        <v>0</v>
      </c>
      <c r="M9" s="6">
        <v>0</v>
      </c>
      <c r="N9" s="6"/>
      <c r="O9" s="6"/>
      <c r="Q9" s="147">
        <v>0</v>
      </c>
      <c r="R9" s="147">
        <v>0</v>
      </c>
      <c r="S9" s="6">
        <v>1533334.8</v>
      </c>
      <c r="T9" s="6">
        <v>0</v>
      </c>
      <c r="V9" s="1153"/>
    </row>
    <row r="10" spans="1:22" x14ac:dyDescent="0.2">
      <c r="A10" s="741"/>
      <c r="B10" s="1153"/>
      <c r="C10" s="1154"/>
      <c r="D10" s="1154"/>
      <c r="E10" s="1150"/>
      <c r="F10" s="1160"/>
      <c r="K10" s="1183"/>
      <c r="N10" s="6"/>
      <c r="O10" s="6"/>
      <c r="Q10" s="147"/>
      <c r="R10" s="147"/>
      <c r="V10" s="1153"/>
    </row>
    <row r="11" spans="1:22" ht="13.5" thickBot="1" x14ac:dyDescent="0.25">
      <c r="A11" s="741" t="s">
        <v>1347</v>
      </c>
      <c r="B11" s="1153"/>
      <c r="C11" s="1154" t="s">
        <v>931</v>
      </c>
      <c r="D11" s="1151">
        <v>96</v>
      </c>
      <c r="E11" s="1151">
        <v>533</v>
      </c>
      <c r="F11" s="138">
        <v>6098000</v>
      </c>
      <c r="G11" s="1151">
        <v>4</v>
      </c>
      <c r="H11" s="138">
        <v>40000</v>
      </c>
      <c r="I11" s="1151">
        <v>613</v>
      </c>
      <c r="J11" s="138">
        <v>7503169.2430525487</v>
      </c>
      <c r="K11" s="1151">
        <v>16</v>
      </c>
      <c r="L11" s="138">
        <v>376295.00000000006</v>
      </c>
      <c r="M11" s="138">
        <v>0</v>
      </c>
      <c r="N11" s="138">
        <v>0</v>
      </c>
      <c r="O11" s="138">
        <v>78147</v>
      </c>
      <c r="P11" s="138">
        <v>82506</v>
      </c>
      <c r="Q11" s="138">
        <v>93268</v>
      </c>
      <c r="R11" s="138">
        <v>-93268</v>
      </c>
      <c r="S11" s="138">
        <v>14178117.24305255</v>
      </c>
      <c r="T11" s="138">
        <v>145930.3898252206</v>
      </c>
      <c r="U11" s="4"/>
      <c r="V11" s="234"/>
    </row>
    <row r="12" spans="1:22" ht="13.5" thickTop="1" x14ac:dyDescent="0.2">
      <c r="Q12"/>
      <c r="R12"/>
    </row>
    <row r="14" spans="1:22" x14ac:dyDescent="0.2">
      <c r="C14" s="1174">
        <v>1</v>
      </c>
      <c r="D14" s="1175">
        <v>2</v>
      </c>
      <c r="E14" s="1175">
        <v>3</v>
      </c>
      <c r="F14" s="1175">
        <v>4</v>
      </c>
      <c r="G14" s="1175">
        <v>5</v>
      </c>
      <c r="H14" s="1175">
        <v>6</v>
      </c>
      <c r="I14" s="1175">
        <v>7</v>
      </c>
      <c r="J14" s="1175">
        <v>8</v>
      </c>
      <c r="K14" s="1175">
        <v>9</v>
      </c>
      <c r="L14" s="1175">
        <v>10</v>
      </c>
      <c r="M14" s="1175">
        <v>11</v>
      </c>
      <c r="N14" s="1175">
        <v>12</v>
      </c>
      <c r="O14" s="1175">
        <v>13</v>
      </c>
      <c r="P14" s="1175">
        <v>14</v>
      </c>
      <c r="Q14" s="1175">
        <v>15</v>
      </c>
      <c r="R14" s="1175">
        <v>16</v>
      </c>
      <c r="S14" s="1175">
        <v>17</v>
      </c>
      <c r="T14" s="1175">
        <v>18</v>
      </c>
      <c r="U14" s="1175"/>
      <c r="V14" s="1175"/>
    </row>
    <row r="16" spans="1:22" ht="102" x14ac:dyDescent="0.2">
      <c r="A16" s="815" t="s">
        <v>304</v>
      </c>
      <c r="B16" s="44"/>
      <c r="C16" s="44">
        <v>1014</v>
      </c>
      <c r="D16" s="44"/>
      <c r="H16" s="1184"/>
      <c r="J16" s="1338" t="s">
        <v>1475</v>
      </c>
      <c r="O16" s="1175" t="s">
        <v>1472</v>
      </c>
      <c r="P16" s="1336" t="s">
        <v>1472</v>
      </c>
    </row>
    <row r="17" spans="1:20" x14ac:dyDescent="0.2">
      <c r="A17" s="815" t="s">
        <v>305</v>
      </c>
      <c r="B17" s="44"/>
      <c r="C17" s="44">
        <v>1017</v>
      </c>
      <c r="D17" s="44"/>
      <c r="O17" s="1175" t="s">
        <v>1473</v>
      </c>
      <c r="P17" s="1175" t="s">
        <v>1473</v>
      </c>
    </row>
    <row r="18" spans="1:20" x14ac:dyDescent="0.2">
      <c r="A18" s="815" t="s">
        <v>306</v>
      </c>
      <c r="B18" s="44"/>
      <c r="C18" s="44">
        <v>1006</v>
      </c>
      <c r="D18" s="44"/>
      <c r="P18" s="1175" t="s">
        <v>1474</v>
      </c>
    </row>
    <row r="19" spans="1:20" x14ac:dyDescent="0.2">
      <c r="A19" s="816" t="s">
        <v>307</v>
      </c>
      <c r="B19" s="44"/>
      <c r="C19" s="44">
        <v>1008</v>
      </c>
      <c r="D19" s="44"/>
    </row>
    <row r="20" spans="1:20" x14ac:dyDescent="0.2">
      <c r="A20" s="816" t="s">
        <v>308</v>
      </c>
      <c r="B20" s="44"/>
      <c r="C20" s="44">
        <v>1005</v>
      </c>
      <c r="D20" s="44"/>
    </row>
    <row r="21" spans="1:20" x14ac:dyDescent="0.2">
      <c r="A21" s="816" t="s">
        <v>309</v>
      </c>
      <c r="B21" s="44"/>
      <c r="C21" s="44">
        <v>1010</v>
      </c>
      <c r="D21" s="44"/>
    </row>
    <row r="22" spans="1:20" s="1174" customFormat="1" x14ac:dyDescent="0.2">
      <c r="A22" s="816" t="s">
        <v>310</v>
      </c>
      <c r="B22" s="44"/>
      <c r="C22" s="44">
        <v>1009</v>
      </c>
      <c r="D22" s="44"/>
      <c r="F22" s="6"/>
      <c r="H22" s="6"/>
      <c r="J22" s="6"/>
      <c r="K22" s="6"/>
      <c r="L22" s="6"/>
      <c r="M22" s="6"/>
      <c r="O22" s="1175"/>
      <c r="P22" s="1175"/>
      <c r="Q22" s="1175"/>
      <c r="R22" s="1175"/>
      <c r="S22" s="6"/>
      <c r="T22" s="6"/>
    </row>
    <row r="23" spans="1:20" s="1174" customFormat="1" x14ac:dyDescent="0.2">
      <c r="A23" s="816" t="s">
        <v>311</v>
      </c>
      <c r="B23" s="44"/>
      <c r="C23" s="44">
        <v>1015</v>
      </c>
      <c r="D23" s="44"/>
      <c r="F23" s="6"/>
      <c r="H23" s="6"/>
      <c r="J23" s="6"/>
      <c r="K23" s="6"/>
      <c r="L23" s="6"/>
      <c r="M23" s="6"/>
      <c r="O23" s="1175"/>
      <c r="P23" s="1175"/>
      <c r="Q23" s="1175"/>
      <c r="R23" s="1175"/>
      <c r="S23" s="6"/>
      <c r="T23" s="6"/>
    </row>
    <row r="24" spans="1:20" s="1174" customFormat="1" x14ac:dyDescent="0.2">
      <c r="A24" s="241" t="s">
        <v>3</v>
      </c>
      <c r="B24" s="793"/>
      <c r="C24" s="793">
        <v>2400</v>
      </c>
      <c r="D24" s="793"/>
      <c r="F24" s="6"/>
      <c r="H24" s="6"/>
      <c r="J24" s="6"/>
      <c r="K24" s="6"/>
      <c r="L24" s="6"/>
      <c r="M24" s="6"/>
      <c r="O24" s="1175"/>
      <c r="P24" s="1175"/>
      <c r="Q24" s="1175"/>
      <c r="R24" s="1175"/>
      <c r="S24" s="6"/>
      <c r="T24" s="6"/>
    </row>
    <row r="25" spans="1:20" s="1174" customFormat="1" x14ac:dyDescent="0.2">
      <c r="A25" s="241" t="s">
        <v>4</v>
      </c>
      <c r="B25" s="793"/>
      <c r="C25" s="793">
        <v>2443</v>
      </c>
      <c r="D25" s="793"/>
      <c r="F25" s="6"/>
      <c r="H25" s="6"/>
      <c r="J25" s="6"/>
      <c r="K25" s="6"/>
      <c r="L25" s="6"/>
      <c r="M25" s="6"/>
      <c r="O25" s="1175"/>
      <c r="P25" s="1175"/>
      <c r="Q25" s="1175"/>
      <c r="R25" s="1175"/>
      <c r="S25" s="6"/>
      <c r="T25" s="6"/>
    </row>
    <row r="26" spans="1:20" s="1174" customFormat="1" x14ac:dyDescent="0.2">
      <c r="A26" s="241" t="s">
        <v>5</v>
      </c>
      <c r="B26" s="793"/>
      <c r="C26" s="793">
        <v>2442</v>
      </c>
      <c r="D26" s="793"/>
      <c r="F26" s="6"/>
      <c r="H26" s="6"/>
      <c r="J26" s="6"/>
      <c r="K26" s="6"/>
      <c r="L26" s="6"/>
      <c r="M26" s="6"/>
      <c r="O26" s="1175"/>
      <c r="P26" s="1175"/>
      <c r="Q26" s="1175"/>
      <c r="R26" s="1175"/>
      <c r="S26" s="6"/>
      <c r="T26" s="6"/>
    </row>
    <row r="27" spans="1:20" s="1174" customFormat="1" x14ac:dyDescent="0.2">
      <c r="A27" s="241" t="s">
        <v>6</v>
      </c>
      <c r="B27" s="793"/>
      <c r="C27" s="793">
        <v>2629</v>
      </c>
      <c r="D27" s="793"/>
      <c r="F27" s="6"/>
      <c r="H27" s="6"/>
      <c r="J27" s="6"/>
      <c r="K27" s="6"/>
      <c r="L27" s="6"/>
      <c r="M27" s="6"/>
      <c r="O27" s="1175"/>
      <c r="P27" s="1175"/>
      <c r="Q27" s="1175"/>
      <c r="R27" s="1175"/>
      <c r="S27" s="6"/>
      <c r="T27" s="6"/>
    </row>
    <row r="28" spans="1:20" s="1174" customFormat="1" x14ac:dyDescent="0.2">
      <c r="A28" s="241" t="s">
        <v>7</v>
      </c>
      <c r="B28" s="793"/>
      <c r="C28" s="793">
        <v>2509</v>
      </c>
      <c r="D28" s="793"/>
      <c r="F28" s="6"/>
      <c r="H28" s="6"/>
      <c r="J28" s="6"/>
      <c r="K28" s="6"/>
      <c r="L28" s="6"/>
      <c r="M28" s="6"/>
      <c r="O28" s="1175"/>
      <c r="P28" s="1175"/>
      <c r="Q28" s="1175"/>
      <c r="R28" s="1175"/>
      <c r="S28" s="6"/>
      <c r="T28" s="6"/>
    </row>
    <row r="29" spans="1:20" s="1174" customFormat="1" x14ac:dyDescent="0.2">
      <c r="A29" s="241" t="s">
        <v>8</v>
      </c>
      <c r="B29" s="793"/>
      <c r="C29" s="793">
        <v>2005</v>
      </c>
      <c r="D29" s="793"/>
      <c r="F29" s="6"/>
      <c r="H29" s="6"/>
      <c r="J29" s="6"/>
      <c r="K29" s="6"/>
      <c r="L29" s="6"/>
      <c r="M29" s="6"/>
      <c r="O29" s="1175"/>
      <c r="P29" s="1175"/>
      <c r="Q29" s="1175"/>
      <c r="R29" s="1175"/>
      <c r="S29" s="6"/>
      <c r="T29" s="6"/>
    </row>
    <row r="30" spans="1:20" s="1174" customFormat="1" x14ac:dyDescent="0.2">
      <c r="A30" s="241" t="s">
        <v>9</v>
      </c>
      <c r="B30" s="793"/>
      <c r="C30" s="793">
        <v>2464</v>
      </c>
      <c r="D30" s="793"/>
      <c r="F30" s="6"/>
      <c r="H30" s="6"/>
      <c r="J30" s="6"/>
      <c r="K30" s="6"/>
      <c r="L30" s="6"/>
      <c r="M30" s="6"/>
      <c r="O30" s="1175"/>
      <c r="P30" s="1175"/>
      <c r="Q30" s="1175"/>
      <c r="R30" s="1175"/>
      <c r="S30" s="6"/>
      <c r="T30" s="6"/>
    </row>
    <row r="31" spans="1:20" s="1174" customFormat="1" x14ac:dyDescent="0.2">
      <c r="A31" s="241" t="s">
        <v>10</v>
      </c>
      <c r="B31" s="793"/>
      <c r="C31" s="793">
        <v>2004</v>
      </c>
      <c r="D31" s="793"/>
      <c r="F31" s="6"/>
      <c r="H31" s="6"/>
      <c r="J31" s="6"/>
      <c r="K31" s="6"/>
      <c r="L31" s="6"/>
      <c r="M31" s="6"/>
      <c r="O31" s="1175"/>
      <c r="P31" s="1175"/>
      <c r="Q31" s="1175"/>
      <c r="R31" s="1175"/>
      <c r="S31" s="6"/>
      <c r="T31" s="6"/>
    </row>
    <row r="32" spans="1:20" s="1174" customFormat="1" x14ac:dyDescent="0.2">
      <c r="A32" s="241" t="s">
        <v>11</v>
      </c>
      <c r="B32" s="793"/>
      <c r="C32" s="793">
        <v>2405</v>
      </c>
      <c r="D32" s="793"/>
      <c r="F32" s="6"/>
      <c r="H32" s="6"/>
      <c r="J32" s="6"/>
      <c r="K32" s="6"/>
      <c r="L32" s="6"/>
      <c r="M32" s="6"/>
      <c r="O32" s="1175"/>
      <c r="P32" s="1175"/>
      <c r="Q32" s="1175"/>
      <c r="R32" s="1175"/>
      <c r="S32" s="6"/>
      <c r="T32" s="6"/>
    </row>
    <row r="33" spans="1:20" s="1174" customFormat="1" x14ac:dyDescent="0.2">
      <c r="A33" s="241" t="s">
        <v>108</v>
      </c>
      <c r="B33" s="793"/>
      <c r="C33" s="793">
        <v>3525</v>
      </c>
      <c r="D33" s="793"/>
      <c r="F33" s="6"/>
      <c r="H33" s="6"/>
      <c r="J33" s="6"/>
      <c r="K33" s="6"/>
      <c r="L33" s="6"/>
      <c r="M33" s="6"/>
      <c r="O33" s="1175"/>
      <c r="P33" s="1175"/>
      <c r="Q33" s="1175"/>
      <c r="R33" s="1175"/>
      <c r="S33" s="6"/>
      <c r="T33" s="6"/>
    </row>
    <row r="34" spans="1:20" s="1174" customFormat="1" x14ac:dyDescent="0.2">
      <c r="A34" s="241" t="s">
        <v>12</v>
      </c>
      <c r="B34" s="793"/>
      <c r="C34" s="793">
        <v>5201</v>
      </c>
      <c r="D34" s="793"/>
      <c r="F34" s="6"/>
      <c r="H34" s="6"/>
      <c r="J34" s="6"/>
      <c r="K34" s="6"/>
      <c r="L34" s="6"/>
      <c r="M34" s="6"/>
      <c r="O34" s="1175"/>
      <c r="P34" s="1175"/>
      <c r="Q34" s="1175"/>
      <c r="R34" s="1175"/>
      <c r="S34" s="6"/>
      <c r="T34" s="6"/>
    </row>
    <row r="35" spans="1:20" s="1174" customFormat="1" x14ac:dyDescent="0.2">
      <c r="A35" s="241" t="s">
        <v>618</v>
      </c>
      <c r="B35" s="793"/>
      <c r="C35" s="793">
        <v>2007</v>
      </c>
      <c r="D35" s="793"/>
      <c r="F35" s="6"/>
      <c r="H35" s="6"/>
      <c r="J35" s="6"/>
      <c r="K35" s="6"/>
      <c r="L35" s="6"/>
      <c r="M35" s="6"/>
      <c r="O35" s="1175"/>
      <c r="P35" s="1175"/>
      <c r="Q35" s="1175"/>
      <c r="R35" s="1175"/>
      <c r="S35" s="6"/>
      <c r="T35" s="6"/>
    </row>
    <row r="36" spans="1:20" s="1174" customFormat="1" x14ac:dyDescent="0.2">
      <c r="A36" s="241" t="s">
        <v>14</v>
      </c>
      <c r="B36" s="793"/>
      <c r="C36" s="793">
        <v>2433</v>
      </c>
      <c r="D36" s="793"/>
      <c r="F36" s="6"/>
      <c r="H36" s="6"/>
      <c r="J36" s="6"/>
      <c r="K36" s="6"/>
      <c r="L36" s="6"/>
      <c r="M36" s="6"/>
      <c r="O36" s="1175"/>
      <c r="P36" s="1175"/>
      <c r="Q36" s="1175"/>
      <c r="R36" s="1175"/>
      <c r="S36" s="6"/>
      <c r="T36" s="6"/>
    </row>
    <row r="37" spans="1:20" s="1174" customFormat="1" x14ac:dyDescent="0.2">
      <c r="A37" s="241" t="s">
        <v>15</v>
      </c>
      <c r="B37" s="793"/>
      <c r="C37" s="793">
        <v>2432</v>
      </c>
      <c r="D37" s="793"/>
      <c r="F37" s="6"/>
      <c r="H37" s="6"/>
      <c r="J37" s="6"/>
      <c r="K37" s="6"/>
      <c r="L37" s="6"/>
      <c r="M37" s="6"/>
      <c r="O37" s="1175"/>
      <c r="P37" s="1175"/>
      <c r="Q37" s="1175"/>
      <c r="R37" s="1175"/>
      <c r="S37" s="6"/>
      <c r="T37" s="6"/>
    </row>
    <row r="38" spans="1:20" s="1174" customFormat="1" x14ac:dyDescent="0.2">
      <c r="A38" s="241" t="s">
        <v>16</v>
      </c>
      <c r="B38" s="793"/>
      <c r="C38" s="793">
        <v>2446</v>
      </c>
      <c r="D38" s="793"/>
      <c r="F38" s="6"/>
      <c r="H38" s="6"/>
      <c r="J38" s="6"/>
      <c r="K38" s="6"/>
      <c r="L38" s="6"/>
      <c r="M38" s="6"/>
      <c r="O38" s="1175"/>
      <c r="P38" s="1175"/>
      <c r="Q38" s="1175"/>
      <c r="R38" s="1175"/>
      <c r="S38" s="6"/>
      <c r="T38" s="6"/>
    </row>
    <row r="39" spans="1:20" s="1174" customFormat="1" x14ac:dyDescent="0.2">
      <c r="A39" s="241" t="s">
        <v>17</v>
      </c>
      <c r="B39" s="793"/>
      <c r="C39" s="793">
        <v>2447</v>
      </c>
      <c r="D39" s="793"/>
      <c r="F39" s="6"/>
      <c r="H39" s="6"/>
      <c r="J39" s="6"/>
      <c r="K39" s="6"/>
      <c r="L39" s="6"/>
      <c r="M39" s="6"/>
      <c r="O39" s="1175"/>
      <c r="P39" s="1175"/>
      <c r="Q39" s="1175"/>
      <c r="R39" s="1175"/>
      <c r="S39" s="6"/>
      <c r="T39" s="6"/>
    </row>
    <row r="40" spans="1:20" s="1174" customFormat="1" x14ac:dyDescent="0.2">
      <c r="A40" s="241" t="s">
        <v>18</v>
      </c>
      <c r="B40" s="793"/>
      <c r="C40" s="793">
        <v>2512</v>
      </c>
      <c r="D40" s="793"/>
      <c r="F40" s="6"/>
      <c r="H40" s="6"/>
      <c r="J40" s="6"/>
      <c r="K40" s="6"/>
      <c r="L40" s="6"/>
      <c r="M40" s="6"/>
      <c r="O40" s="1175"/>
      <c r="P40" s="1175"/>
      <c r="Q40" s="1175"/>
      <c r="R40" s="1175"/>
      <c r="S40" s="6"/>
      <c r="T40" s="6"/>
    </row>
    <row r="41" spans="1:20" s="1174" customFormat="1" x14ac:dyDescent="0.2">
      <c r="A41" s="241" t="s">
        <v>19</v>
      </c>
      <c r="B41" s="793"/>
      <c r="C41" s="793">
        <v>2456</v>
      </c>
      <c r="D41" s="793"/>
      <c r="F41" s="6"/>
      <c r="H41" s="6"/>
      <c r="J41" s="6"/>
      <c r="K41" s="6"/>
      <c r="L41" s="6"/>
      <c r="M41" s="6"/>
      <c r="O41" s="1175"/>
      <c r="P41" s="1175"/>
      <c r="Q41" s="1175"/>
      <c r="R41" s="1175"/>
      <c r="S41" s="6"/>
      <c r="T41" s="6"/>
    </row>
    <row r="42" spans="1:20" s="1174" customFormat="1" x14ac:dyDescent="0.2">
      <c r="A42" s="241" t="s">
        <v>20</v>
      </c>
      <c r="B42" s="793"/>
      <c r="C42" s="793">
        <v>2449</v>
      </c>
      <c r="D42" s="793"/>
      <c r="F42" s="6"/>
      <c r="H42" s="6"/>
      <c r="J42" s="6"/>
      <c r="K42" s="6"/>
      <c r="L42" s="6"/>
      <c r="M42" s="6"/>
      <c r="O42" s="1175"/>
      <c r="P42" s="1175"/>
      <c r="Q42" s="1175"/>
      <c r="R42" s="1175"/>
      <c r="S42" s="6"/>
      <c r="T42" s="6"/>
    </row>
    <row r="43" spans="1:20" s="1174" customFormat="1" x14ac:dyDescent="0.2">
      <c r="A43" s="241" t="s">
        <v>21</v>
      </c>
      <c r="B43" s="793"/>
      <c r="C43" s="793">
        <v>2448</v>
      </c>
      <c r="D43" s="793"/>
      <c r="F43" s="6"/>
      <c r="H43" s="6"/>
      <c r="J43" s="6"/>
      <c r="K43" s="6"/>
      <c r="L43" s="6"/>
      <c r="M43" s="6"/>
      <c r="O43" s="1175"/>
      <c r="P43" s="1175"/>
      <c r="Q43" s="1175"/>
      <c r="R43" s="1175"/>
      <c r="S43" s="6"/>
      <c r="T43" s="6"/>
    </row>
    <row r="44" spans="1:20" s="1174" customFormat="1" x14ac:dyDescent="0.2">
      <c r="A44" s="701" t="s">
        <v>1047</v>
      </c>
      <c r="B44" s="793"/>
      <c r="C44" s="793">
        <v>2467</v>
      </c>
      <c r="D44" s="793"/>
      <c r="F44" s="6"/>
      <c r="H44" s="6"/>
      <c r="J44" s="6"/>
      <c r="K44" s="6"/>
      <c r="L44" s="6"/>
      <c r="M44" s="6"/>
      <c r="O44" s="1175"/>
      <c r="P44" s="1175"/>
      <c r="Q44" s="1175"/>
      <c r="R44" s="1175"/>
      <c r="S44" s="6"/>
      <c r="T44" s="6"/>
    </row>
    <row r="45" spans="1:20" s="1174" customFormat="1" x14ac:dyDescent="0.2">
      <c r="A45" s="241" t="s">
        <v>24</v>
      </c>
      <c r="B45" s="793"/>
      <c r="C45" s="793">
        <v>2455</v>
      </c>
      <c r="D45" s="793"/>
      <c r="F45" s="6"/>
      <c r="H45" s="6"/>
      <c r="J45" s="6"/>
      <c r="K45" s="6"/>
      <c r="L45" s="6"/>
      <c r="M45" s="6"/>
      <c r="O45" s="1175"/>
      <c r="P45" s="1175"/>
      <c r="Q45" s="1175"/>
      <c r="R45" s="1175"/>
      <c r="S45" s="6"/>
      <c r="T45" s="6"/>
    </row>
    <row r="46" spans="1:20" s="1174" customFormat="1" x14ac:dyDescent="0.2">
      <c r="A46" s="241" t="s">
        <v>25</v>
      </c>
      <c r="B46" s="793"/>
      <c r="C46" s="793">
        <v>5203</v>
      </c>
      <c r="D46" s="793"/>
      <c r="F46" s="6"/>
      <c r="H46" s="6"/>
      <c r="J46" s="6"/>
      <c r="K46" s="6"/>
      <c r="L46" s="6"/>
      <c r="M46" s="6"/>
      <c r="O46" s="1175"/>
      <c r="P46" s="1175"/>
      <c r="Q46" s="1175"/>
      <c r="R46" s="1175"/>
      <c r="S46" s="6"/>
      <c r="T46" s="6"/>
    </row>
    <row r="47" spans="1:20" s="1174" customFormat="1" x14ac:dyDescent="0.2">
      <c r="A47" s="241" t="s">
        <v>26</v>
      </c>
      <c r="B47" s="793"/>
      <c r="C47" s="793">
        <v>2451</v>
      </c>
      <c r="D47" s="793"/>
      <c r="F47" s="6"/>
      <c r="H47" s="6"/>
      <c r="J47" s="6"/>
      <c r="K47" s="6"/>
      <c r="L47" s="6"/>
      <c r="M47" s="6"/>
      <c r="O47" s="1175"/>
      <c r="P47" s="1175"/>
      <c r="Q47" s="1175"/>
      <c r="R47" s="1175"/>
      <c r="S47" s="6"/>
      <c r="T47" s="6"/>
    </row>
    <row r="48" spans="1:20" s="1174" customFormat="1" x14ac:dyDescent="0.2">
      <c r="A48" s="241" t="s">
        <v>27</v>
      </c>
      <c r="B48" s="793"/>
      <c r="C48" s="793">
        <v>2409</v>
      </c>
      <c r="D48" s="793"/>
      <c r="F48" s="6"/>
      <c r="H48" s="6"/>
      <c r="J48" s="6"/>
      <c r="K48" s="6"/>
      <c r="L48" s="6"/>
      <c r="M48" s="6"/>
      <c r="O48" s="1175"/>
      <c r="P48" s="1175"/>
      <c r="Q48" s="1175"/>
      <c r="R48" s="1175"/>
      <c r="S48" s="6"/>
      <c r="T48" s="6"/>
    </row>
    <row r="49" spans="1:20" s="1174" customFormat="1" x14ac:dyDescent="0.2">
      <c r="A49" s="241" t="s">
        <v>28</v>
      </c>
      <c r="B49" s="793"/>
      <c r="C49" s="793">
        <v>3158</v>
      </c>
      <c r="D49" s="793"/>
      <c r="F49" s="6"/>
      <c r="H49" s="6"/>
      <c r="J49" s="6"/>
      <c r="K49" s="6"/>
      <c r="L49" s="6"/>
      <c r="M49" s="6"/>
      <c r="O49" s="1175"/>
      <c r="P49" s="1175"/>
      <c r="Q49" s="1175"/>
      <c r="R49" s="1175"/>
      <c r="S49" s="6"/>
      <c r="T49" s="6"/>
    </row>
    <row r="50" spans="1:20" s="1174" customFormat="1" x14ac:dyDescent="0.2">
      <c r="A50" s="241" t="s">
        <v>29</v>
      </c>
      <c r="B50" s="793"/>
      <c r="C50" s="793">
        <v>2619</v>
      </c>
      <c r="D50" s="793"/>
      <c r="F50" s="6"/>
      <c r="H50" s="6"/>
      <c r="J50" s="6"/>
      <c r="K50" s="6"/>
      <c r="L50" s="6"/>
      <c r="M50" s="6"/>
      <c r="O50" s="1175"/>
      <c r="P50" s="1175"/>
      <c r="Q50" s="1175"/>
      <c r="R50" s="1175"/>
      <c r="S50" s="6"/>
      <c r="T50" s="6"/>
    </row>
    <row r="51" spans="1:20" s="1174" customFormat="1" x14ac:dyDescent="0.2">
      <c r="A51" s="241" t="s">
        <v>30</v>
      </c>
      <c r="B51" s="793"/>
      <c r="C51" s="793">
        <v>2518</v>
      </c>
      <c r="D51" s="793"/>
      <c r="F51" s="6"/>
      <c r="H51" s="6"/>
      <c r="J51" s="6"/>
      <c r="K51" s="6"/>
      <c r="L51" s="6"/>
      <c r="M51" s="6"/>
      <c r="O51" s="1175"/>
      <c r="P51" s="1175"/>
      <c r="Q51" s="1175"/>
      <c r="R51" s="1175"/>
      <c r="S51" s="6"/>
      <c r="T51" s="6"/>
    </row>
    <row r="52" spans="1:20" s="1174" customFormat="1" x14ac:dyDescent="0.2">
      <c r="A52" s="241" t="s">
        <v>31</v>
      </c>
      <c r="B52" s="793"/>
      <c r="C52" s="793">
        <v>2457</v>
      </c>
      <c r="D52" s="793"/>
      <c r="F52" s="6"/>
      <c r="H52" s="6"/>
      <c r="J52" s="6"/>
      <c r="K52" s="6"/>
      <c r="L52" s="6"/>
      <c r="M52" s="6"/>
      <c r="O52" s="1175"/>
      <c r="P52" s="1175"/>
      <c r="Q52" s="1175"/>
      <c r="R52" s="1175"/>
      <c r="S52" s="6"/>
      <c r="T52" s="6"/>
    </row>
    <row r="53" spans="1:20" s="1174" customFormat="1" x14ac:dyDescent="0.2">
      <c r="A53" s="701" t="s">
        <v>1018</v>
      </c>
      <c r="B53" s="793"/>
      <c r="C53" s="793">
        <v>2515</v>
      </c>
      <c r="D53" s="793"/>
      <c r="F53" s="6"/>
      <c r="H53" s="6"/>
      <c r="J53" s="6"/>
      <c r="K53" s="6"/>
      <c r="L53" s="6"/>
      <c r="M53" s="6"/>
      <c r="O53" s="1175"/>
      <c r="P53" s="1175"/>
      <c r="Q53" s="1175"/>
      <c r="R53" s="1175"/>
      <c r="S53" s="6"/>
      <c r="T53" s="6"/>
    </row>
    <row r="54" spans="1:20" s="1174" customFormat="1" x14ac:dyDescent="0.2">
      <c r="A54" s="241" t="s">
        <v>33</v>
      </c>
      <c r="B54" s="793"/>
      <c r="C54" s="793">
        <v>2002</v>
      </c>
      <c r="D54" s="793"/>
      <c r="F54" s="6"/>
      <c r="H54" s="6"/>
      <c r="J54" s="6"/>
      <c r="K54" s="6"/>
      <c r="L54" s="6"/>
      <c r="M54" s="6"/>
      <c r="O54" s="1175"/>
      <c r="P54" s="1175"/>
      <c r="Q54" s="1175"/>
      <c r="R54" s="1175"/>
      <c r="S54" s="6"/>
      <c r="T54" s="6"/>
    </row>
    <row r="55" spans="1:20" s="1174" customFormat="1" x14ac:dyDescent="0.2">
      <c r="A55" s="241" t="s">
        <v>34</v>
      </c>
      <c r="B55" s="793"/>
      <c r="C55" s="793">
        <v>3544</v>
      </c>
      <c r="D55" s="793"/>
      <c r="F55" s="6"/>
      <c r="H55" s="6"/>
      <c r="J55" s="6"/>
      <c r="K55" s="6"/>
      <c r="L55" s="6"/>
      <c r="M55" s="6"/>
      <c r="O55" s="1175"/>
      <c r="P55" s="1175"/>
      <c r="Q55" s="1175"/>
      <c r="R55" s="1175"/>
      <c r="S55" s="6"/>
      <c r="T55" s="6"/>
    </row>
    <row r="56" spans="1:20" s="1174" customFormat="1" x14ac:dyDescent="0.2">
      <c r="A56" s="241" t="s">
        <v>35</v>
      </c>
      <c r="B56" s="793"/>
      <c r="C56" s="793">
        <v>2006</v>
      </c>
      <c r="D56" s="793"/>
      <c r="F56" s="6"/>
      <c r="H56" s="6"/>
      <c r="J56" s="6"/>
      <c r="K56" s="6"/>
      <c r="L56" s="6"/>
      <c r="M56" s="6"/>
      <c r="O56" s="1175"/>
      <c r="P56" s="1175"/>
      <c r="Q56" s="1175"/>
      <c r="R56" s="1175"/>
      <c r="S56" s="6"/>
      <c r="T56" s="6"/>
    </row>
    <row r="57" spans="1:20" s="1174" customFormat="1" x14ac:dyDescent="0.2">
      <c r="A57" s="241" t="s">
        <v>36</v>
      </c>
      <c r="B57" s="793"/>
      <c r="C57" s="793">
        <v>2434</v>
      </c>
      <c r="D57" s="793"/>
      <c r="F57" s="6"/>
      <c r="H57" s="6"/>
      <c r="J57" s="6"/>
      <c r="K57" s="6"/>
      <c r="L57" s="6"/>
      <c r="M57" s="6"/>
      <c r="O57" s="1175"/>
      <c r="P57" s="1175"/>
      <c r="Q57" s="1175"/>
      <c r="R57" s="1175"/>
      <c r="S57" s="6"/>
      <c r="T57" s="6"/>
    </row>
    <row r="58" spans="1:20" s="1174" customFormat="1" x14ac:dyDescent="0.2">
      <c r="A58" s="241" t="s">
        <v>37</v>
      </c>
      <c r="B58" s="793"/>
      <c r="C58" s="793">
        <v>2522</v>
      </c>
      <c r="D58" s="793"/>
      <c r="F58" s="6"/>
      <c r="H58" s="6"/>
      <c r="J58" s="6"/>
      <c r="K58" s="6"/>
      <c r="L58" s="6"/>
      <c r="M58" s="6"/>
      <c r="O58" s="1175"/>
      <c r="P58" s="1175"/>
      <c r="Q58" s="1175"/>
      <c r="R58" s="1175"/>
      <c r="S58" s="6"/>
      <c r="T58" s="6"/>
    </row>
    <row r="59" spans="1:20" s="1174" customFormat="1" x14ac:dyDescent="0.2">
      <c r="A59" s="241" t="s">
        <v>38</v>
      </c>
      <c r="B59" s="793"/>
      <c r="C59" s="793">
        <v>2436</v>
      </c>
      <c r="D59" s="793"/>
      <c r="F59" s="6"/>
      <c r="H59" s="6"/>
      <c r="J59" s="6"/>
      <c r="K59" s="6"/>
      <c r="L59" s="6"/>
      <c r="M59" s="6"/>
      <c r="O59" s="1175"/>
      <c r="P59" s="1175"/>
      <c r="Q59" s="1175"/>
      <c r="R59" s="1175"/>
      <c r="S59" s="6"/>
      <c r="T59" s="6"/>
    </row>
    <row r="60" spans="1:20" s="1174" customFormat="1" x14ac:dyDescent="0.2">
      <c r="A60" s="241" t="s">
        <v>39</v>
      </c>
      <c r="B60" s="793"/>
      <c r="C60" s="793">
        <v>2452</v>
      </c>
      <c r="D60" s="793"/>
      <c r="F60" s="6"/>
      <c r="H60" s="6"/>
      <c r="J60" s="6"/>
      <c r="K60" s="6"/>
      <c r="L60" s="6"/>
      <c r="M60" s="6"/>
      <c r="O60" s="1175"/>
      <c r="P60" s="1175"/>
      <c r="Q60" s="1175"/>
      <c r="R60" s="1175"/>
      <c r="S60" s="6"/>
      <c r="T60" s="6"/>
    </row>
    <row r="61" spans="1:20" s="1174" customFormat="1" x14ac:dyDescent="0.2">
      <c r="A61" s="241" t="s">
        <v>40</v>
      </c>
      <c r="B61" s="793"/>
      <c r="C61" s="793">
        <v>2627</v>
      </c>
      <c r="D61" s="793"/>
      <c r="F61" s="6"/>
      <c r="H61" s="6"/>
      <c r="J61" s="6"/>
      <c r="K61" s="6"/>
      <c r="L61" s="6"/>
      <c r="M61" s="6"/>
      <c r="O61" s="1175"/>
      <c r="P61" s="1175"/>
      <c r="Q61" s="1175"/>
      <c r="R61" s="1175"/>
      <c r="S61" s="6"/>
      <c r="T61" s="6"/>
    </row>
    <row r="62" spans="1:20" s="1174" customFormat="1" x14ac:dyDescent="0.2">
      <c r="A62" s="241" t="s">
        <v>619</v>
      </c>
      <c r="B62" s="793"/>
      <c r="C62" s="793">
        <v>2009</v>
      </c>
      <c r="D62" s="793"/>
      <c r="F62" s="6"/>
      <c r="H62" s="6"/>
      <c r="J62" s="6"/>
      <c r="K62" s="6"/>
      <c r="L62" s="6"/>
      <c r="M62" s="6"/>
      <c r="O62" s="1175"/>
      <c r="P62" s="1175"/>
      <c r="Q62" s="1175"/>
      <c r="R62" s="1175"/>
      <c r="S62" s="6"/>
      <c r="T62" s="6"/>
    </row>
    <row r="63" spans="1:20" s="1174" customFormat="1" x14ac:dyDescent="0.2">
      <c r="A63" s="241" t="s">
        <v>42</v>
      </c>
      <c r="B63" s="793"/>
      <c r="C63" s="793">
        <v>2473</v>
      </c>
      <c r="D63" s="793"/>
      <c r="F63" s="6"/>
      <c r="H63" s="6"/>
      <c r="J63" s="6"/>
      <c r="K63" s="6"/>
      <c r="L63" s="6"/>
      <c r="M63" s="6"/>
      <c r="O63" s="1175"/>
      <c r="P63" s="1175"/>
      <c r="Q63" s="1175"/>
      <c r="R63" s="1175"/>
      <c r="S63" s="6"/>
      <c r="T63" s="6"/>
    </row>
    <row r="64" spans="1:20" s="1174" customFormat="1" x14ac:dyDescent="0.2">
      <c r="A64" s="241" t="s">
        <v>43</v>
      </c>
      <c r="B64" s="793"/>
      <c r="C64" s="793">
        <v>2471</v>
      </c>
      <c r="D64" s="793"/>
      <c r="F64" s="6"/>
      <c r="H64" s="6"/>
      <c r="J64" s="6"/>
      <c r="K64" s="6"/>
      <c r="L64" s="6"/>
      <c r="M64" s="6"/>
      <c r="O64" s="1175"/>
      <c r="P64" s="1175"/>
      <c r="Q64" s="1175"/>
      <c r="R64" s="1175"/>
      <c r="S64" s="6"/>
      <c r="T64" s="6"/>
    </row>
    <row r="65" spans="1:20" s="1174" customFormat="1" x14ac:dyDescent="0.2">
      <c r="A65" s="241" t="s">
        <v>44</v>
      </c>
      <c r="B65" s="793"/>
      <c r="C65" s="793">
        <v>2420</v>
      </c>
      <c r="D65" s="793"/>
      <c r="F65" s="6"/>
      <c r="H65" s="6"/>
      <c r="J65" s="6"/>
      <c r="K65" s="6"/>
      <c r="L65" s="6"/>
      <c r="M65" s="6"/>
      <c r="O65" s="1175"/>
      <c r="P65" s="1175"/>
      <c r="Q65" s="1175"/>
      <c r="R65" s="1175"/>
      <c r="S65" s="6"/>
      <c r="T65" s="6"/>
    </row>
    <row r="66" spans="1:20" s="1174" customFormat="1" x14ac:dyDescent="0.2">
      <c r="A66" s="241" t="s">
        <v>45</v>
      </c>
      <c r="B66" s="793"/>
      <c r="C66" s="793">
        <v>2003</v>
      </c>
      <c r="D66" s="793"/>
      <c r="F66" s="6"/>
      <c r="H66" s="6"/>
      <c r="J66" s="6"/>
      <c r="K66" s="6"/>
      <c r="L66" s="6"/>
      <c r="M66" s="6"/>
      <c r="O66" s="1175"/>
      <c r="P66" s="1175"/>
      <c r="Q66" s="1175"/>
      <c r="R66" s="1175"/>
      <c r="S66" s="6"/>
      <c r="T66" s="6"/>
    </row>
    <row r="67" spans="1:20" s="1174" customFormat="1" x14ac:dyDescent="0.2">
      <c r="A67" s="241" t="s">
        <v>46</v>
      </c>
      <c r="B67" s="793"/>
      <c r="C67" s="793">
        <v>2423</v>
      </c>
      <c r="D67" s="793"/>
      <c r="F67" s="6"/>
      <c r="H67" s="6"/>
      <c r="J67" s="6"/>
      <c r="K67" s="6"/>
      <c r="L67" s="6"/>
      <c r="M67" s="6"/>
      <c r="O67" s="1175"/>
      <c r="P67" s="1175"/>
      <c r="Q67" s="1175"/>
      <c r="R67" s="1175"/>
      <c r="S67" s="6"/>
      <c r="T67" s="6"/>
    </row>
    <row r="68" spans="1:20" s="1174" customFormat="1" x14ac:dyDescent="0.2">
      <c r="A68" s="241" t="s">
        <v>47</v>
      </c>
      <c r="B68" s="793"/>
      <c r="C68" s="793">
        <v>2424</v>
      </c>
      <c r="D68" s="793"/>
      <c r="F68" s="6"/>
      <c r="H68" s="6"/>
      <c r="J68" s="6"/>
      <c r="K68" s="6"/>
      <c r="L68" s="6"/>
      <c r="M68" s="6"/>
      <c r="O68" s="1175"/>
      <c r="P68" s="1175"/>
      <c r="Q68" s="1175"/>
      <c r="R68" s="1175"/>
      <c r="S68" s="6"/>
      <c r="T68" s="6"/>
    </row>
    <row r="69" spans="1:20" s="1174" customFormat="1" x14ac:dyDescent="0.2">
      <c r="A69" s="241" t="s">
        <v>48</v>
      </c>
      <c r="B69" s="793"/>
      <c r="C69" s="793">
        <v>2439</v>
      </c>
      <c r="D69" s="793"/>
      <c r="F69" s="6"/>
      <c r="H69" s="6"/>
      <c r="J69" s="6"/>
      <c r="K69" s="6"/>
      <c r="L69" s="6"/>
      <c r="M69" s="6"/>
      <c r="O69" s="1175"/>
      <c r="P69" s="1175"/>
      <c r="Q69" s="1175"/>
      <c r="R69" s="1175"/>
      <c r="S69" s="6"/>
      <c r="T69" s="6"/>
    </row>
    <row r="70" spans="1:20" s="1174" customFormat="1" x14ac:dyDescent="0.2">
      <c r="A70" s="241" t="s">
        <v>49</v>
      </c>
      <c r="B70" s="793"/>
      <c r="C70" s="793">
        <v>2440</v>
      </c>
      <c r="D70" s="793"/>
      <c r="F70" s="6"/>
      <c r="H70" s="6"/>
      <c r="J70" s="6"/>
      <c r="K70" s="6"/>
      <c r="L70" s="6"/>
      <c r="M70" s="6"/>
      <c r="O70" s="1175"/>
      <c r="P70" s="1175"/>
      <c r="Q70" s="1175"/>
      <c r="R70" s="1175"/>
      <c r="S70" s="6"/>
      <c r="T70" s="6"/>
    </row>
    <row r="71" spans="1:20" s="1174" customFormat="1" x14ac:dyDescent="0.2">
      <c r="A71" s="241" t="s">
        <v>50</v>
      </c>
      <c r="B71" s="793"/>
      <c r="C71" s="793">
        <v>2462</v>
      </c>
      <c r="D71" s="793"/>
      <c r="F71" s="6"/>
      <c r="H71" s="6"/>
      <c r="J71" s="6"/>
      <c r="K71" s="6"/>
      <c r="L71" s="6"/>
      <c r="M71" s="6"/>
      <c r="O71" s="1175"/>
      <c r="P71" s="1175"/>
      <c r="Q71" s="1175"/>
      <c r="R71" s="1175"/>
      <c r="S71" s="6"/>
      <c r="T71" s="6"/>
    </row>
    <row r="72" spans="1:20" s="1174" customFormat="1" x14ac:dyDescent="0.2">
      <c r="A72" s="241" t="s">
        <v>51</v>
      </c>
      <c r="B72" s="793"/>
      <c r="C72" s="793">
        <v>2463</v>
      </c>
      <c r="D72" s="793"/>
      <c r="F72" s="6"/>
      <c r="H72" s="6"/>
      <c r="J72" s="6"/>
      <c r="K72" s="6"/>
      <c r="L72" s="6"/>
      <c r="M72" s="6"/>
      <c r="O72" s="1175"/>
      <c r="P72" s="1175"/>
      <c r="Q72" s="1175"/>
      <c r="R72" s="1175"/>
      <c r="S72" s="6"/>
      <c r="T72" s="6"/>
    </row>
    <row r="73" spans="1:20" s="1174" customFormat="1" x14ac:dyDescent="0.2">
      <c r="A73" s="241" t="s">
        <v>52</v>
      </c>
      <c r="B73" s="793"/>
      <c r="C73" s="793">
        <v>2505</v>
      </c>
      <c r="D73" s="793"/>
      <c r="F73" s="6"/>
      <c r="H73" s="6"/>
      <c r="J73" s="6"/>
      <c r="K73" s="6"/>
      <c r="L73" s="6"/>
      <c r="M73" s="6"/>
      <c r="O73" s="1175"/>
      <c r="P73" s="1175"/>
      <c r="Q73" s="1175"/>
      <c r="R73" s="1175"/>
      <c r="S73" s="6"/>
      <c r="T73" s="6"/>
    </row>
    <row r="74" spans="1:20" s="1174" customFormat="1" x14ac:dyDescent="0.2">
      <c r="A74" s="241" t="s">
        <v>53</v>
      </c>
      <c r="B74" s="793"/>
      <c r="C74" s="793">
        <v>2000</v>
      </c>
      <c r="D74" s="793"/>
      <c r="F74" s="6"/>
      <c r="H74" s="6"/>
      <c r="J74" s="6"/>
      <c r="K74" s="6"/>
      <c r="L74" s="6"/>
      <c r="M74" s="6"/>
      <c r="O74" s="1175"/>
      <c r="P74" s="1175"/>
      <c r="Q74" s="1175"/>
      <c r="R74" s="1175"/>
      <c r="S74" s="6"/>
      <c r="T74" s="6"/>
    </row>
    <row r="75" spans="1:20" s="1174" customFormat="1" x14ac:dyDescent="0.2">
      <c r="A75" s="241" t="s">
        <v>54</v>
      </c>
      <c r="B75" s="793"/>
      <c r="C75" s="793">
        <v>2458</v>
      </c>
      <c r="D75" s="793"/>
      <c r="F75" s="6"/>
      <c r="H75" s="6"/>
      <c r="J75" s="6"/>
      <c r="K75" s="6"/>
      <c r="L75" s="6"/>
      <c r="M75" s="6"/>
      <c r="O75" s="1175"/>
      <c r="P75" s="1175"/>
      <c r="Q75" s="1175"/>
      <c r="R75" s="1175"/>
      <c r="S75" s="6"/>
      <c r="T75" s="6"/>
    </row>
    <row r="76" spans="1:20" s="1174" customFormat="1" x14ac:dyDescent="0.2">
      <c r="A76" s="241" t="s">
        <v>55</v>
      </c>
      <c r="B76" s="793"/>
      <c r="C76" s="793">
        <v>2001</v>
      </c>
      <c r="D76" s="793"/>
      <c r="F76" s="6"/>
      <c r="H76" s="6"/>
      <c r="J76" s="6"/>
      <c r="K76" s="6"/>
      <c r="L76" s="6"/>
      <c r="M76" s="6"/>
      <c r="O76" s="1175"/>
      <c r="P76" s="1175"/>
      <c r="Q76" s="1175"/>
      <c r="R76" s="1175"/>
      <c r="S76" s="6"/>
      <c r="T76" s="6"/>
    </row>
    <row r="77" spans="1:20" s="1174" customFormat="1" x14ac:dyDescent="0.2">
      <c r="A77" s="241" t="s">
        <v>56</v>
      </c>
      <c r="B77" s="793"/>
      <c r="C77" s="793">
        <v>2429</v>
      </c>
      <c r="D77" s="793"/>
      <c r="F77" s="6"/>
      <c r="H77" s="6"/>
      <c r="J77" s="6"/>
      <c r="K77" s="6"/>
      <c r="L77" s="6"/>
      <c r="M77" s="6"/>
      <c r="O77" s="1175"/>
      <c r="P77" s="1175"/>
      <c r="Q77" s="1175"/>
      <c r="R77" s="1175"/>
      <c r="S77" s="6"/>
      <c r="T77" s="6"/>
    </row>
    <row r="78" spans="1:20" s="1174" customFormat="1" x14ac:dyDescent="0.2">
      <c r="A78" s="241" t="s">
        <v>57</v>
      </c>
      <c r="B78" s="793"/>
      <c r="C78" s="793">
        <v>2444</v>
      </c>
      <c r="D78" s="793"/>
      <c r="F78" s="6"/>
      <c r="H78" s="6"/>
      <c r="J78" s="6"/>
      <c r="K78" s="6"/>
      <c r="L78" s="6"/>
      <c r="M78" s="6"/>
      <c r="O78" s="1175"/>
      <c r="P78" s="1175"/>
      <c r="Q78" s="1175"/>
      <c r="R78" s="1175"/>
      <c r="S78" s="6"/>
      <c r="T78" s="6"/>
    </row>
    <row r="79" spans="1:20" s="1174" customFormat="1" x14ac:dyDescent="0.2">
      <c r="A79" s="241" t="s">
        <v>58</v>
      </c>
      <c r="B79" s="793"/>
      <c r="C79" s="793">
        <v>5209</v>
      </c>
      <c r="D79" s="793"/>
      <c r="F79" s="6"/>
      <c r="H79" s="6"/>
      <c r="J79" s="6"/>
      <c r="K79" s="6"/>
      <c r="L79" s="6"/>
      <c r="M79" s="6"/>
      <c r="O79" s="1175"/>
      <c r="P79" s="1175"/>
      <c r="Q79" s="1175"/>
      <c r="R79" s="1175"/>
      <c r="S79" s="6"/>
      <c r="T79" s="6"/>
    </row>
    <row r="80" spans="1:20" s="1174" customFormat="1" x14ac:dyDescent="0.2">
      <c r="A80" s="241" t="s">
        <v>59</v>
      </c>
      <c r="B80" s="793"/>
      <c r="C80" s="793">
        <v>2469</v>
      </c>
      <c r="D80" s="793"/>
      <c r="F80" s="6"/>
      <c r="H80" s="6"/>
      <c r="J80" s="6"/>
      <c r="K80" s="6"/>
      <c r="L80" s="6"/>
      <c r="M80" s="6"/>
      <c r="O80" s="1175"/>
      <c r="P80" s="1175"/>
      <c r="Q80" s="1175"/>
      <c r="R80" s="1175"/>
      <c r="S80" s="6"/>
      <c r="T80" s="6"/>
    </row>
    <row r="81" spans="1:20" s="1174" customFormat="1" x14ac:dyDescent="0.2">
      <c r="A81" s="241" t="s">
        <v>60</v>
      </c>
      <c r="B81" s="793"/>
      <c r="C81" s="793">
        <v>2430</v>
      </c>
      <c r="D81" s="793"/>
      <c r="F81" s="6"/>
      <c r="H81" s="6"/>
      <c r="J81" s="6"/>
      <c r="K81" s="6"/>
      <c r="L81" s="6"/>
      <c r="M81" s="6"/>
      <c r="O81" s="1175"/>
      <c r="P81" s="1175"/>
      <c r="Q81" s="1175"/>
      <c r="R81" s="1175"/>
      <c r="S81" s="6"/>
      <c r="T81" s="6"/>
    </row>
    <row r="82" spans="1:20" s="1174" customFormat="1" x14ac:dyDescent="0.2">
      <c r="A82" s="241" t="s">
        <v>61</v>
      </c>
      <c r="B82" s="793"/>
      <c r="C82" s="793">
        <v>2466</v>
      </c>
      <c r="D82" s="793"/>
      <c r="F82" s="6"/>
      <c r="H82" s="6"/>
      <c r="J82" s="6"/>
      <c r="K82" s="6"/>
      <c r="L82" s="6"/>
      <c r="M82" s="6"/>
      <c r="O82" s="1175"/>
      <c r="P82" s="1175"/>
      <c r="Q82" s="1175"/>
      <c r="R82" s="1175"/>
      <c r="S82" s="6"/>
      <c r="T82" s="6"/>
    </row>
    <row r="83" spans="1:20" s="1174" customFormat="1" x14ac:dyDescent="0.2">
      <c r="A83" s="241" t="s">
        <v>106</v>
      </c>
      <c r="B83" s="793"/>
      <c r="C83" s="793">
        <v>3543</v>
      </c>
      <c r="D83" s="793"/>
      <c r="F83" s="6"/>
      <c r="H83" s="6"/>
      <c r="J83" s="6"/>
      <c r="K83" s="6"/>
      <c r="L83" s="6"/>
      <c r="M83" s="6"/>
      <c r="O83" s="1175"/>
      <c r="P83" s="1175"/>
      <c r="Q83" s="1175"/>
      <c r="R83" s="1175"/>
      <c r="S83" s="6"/>
      <c r="T83" s="6"/>
    </row>
    <row r="84" spans="1:20" s="1174" customFormat="1" x14ac:dyDescent="0.2">
      <c r="A84" s="241" t="s">
        <v>623</v>
      </c>
      <c r="B84" s="793"/>
      <c r="C84" s="793">
        <v>3531</v>
      </c>
      <c r="D84" s="793"/>
      <c r="F84" s="6"/>
      <c r="H84" s="6"/>
      <c r="J84" s="6"/>
      <c r="K84" s="6"/>
      <c r="L84" s="6"/>
      <c r="M84" s="6"/>
      <c r="O84" s="1175"/>
      <c r="P84" s="1175"/>
      <c r="Q84" s="1175"/>
      <c r="R84" s="1175"/>
      <c r="S84" s="6"/>
      <c r="T84" s="6"/>
    </row>
    <row r="85" spans="1:20" s="1174" customFormat="1" x14ac:dyDescent="0.2">
      <c r="A85" s="241" t="s">
        <v>63</v>
      </c>
      <c r="B85" s="793"/>
      <c r="C85" s="793">
        <v>3526</v>
      </c>
      <c r="D85" s="793"/>
      <c r="F85" s="6"/>
      <c r="H85" s="6"/>
      <c r="J85" s="6"/>
      <c r="K85" s="6"/>
      <c r="L85" s="6"/>
      <c r="M85" s="6"/>
      <c r="O85" s="1175"/>
      <c r="P85" s="1175"/>
      <c r="Q85" s="1175"/>
      <c r="R85" s="1175"/>
      <c r="S85" s="6"/>
      <c r="T85" s="6"/>
    </row>
    <row r="86" spans="1:20" s="1174" customFormat="1" x14ac:dyDescent="0.2">
      <c r="A86" s="241" t="s">
        <v>64</v>
      </c>
      <c r="B86" s="793"/>
      <c r="C86" s="793">
        <v>3535</v>
      </c>
      <c r="D86" s="793"/>
      <c r="F86" s="6"/>
      <c r="H86" s="6"/>
      <c r="J86" s="6"/>
      <c r="K86" s="6"/>
      <c r="L86" s="6"/>
      <c r="M86" s="6"/>
      <c r="O86" s="1175"/>
      <c r="P86" s="1175"/>
      <c r="Q86" s="1175"/>
      <c r="R86" s="1175"/>
      <c r="S86" s="6"/>
      <c r="T86" s="6"/>
    </row>
    <row r="87" spans="1:20" s="1174" customFormat="1" x14ac:dyDescent="0.2">
      <c r="A87" s="797" t="s">
        <v>620</v>
      </c>
      <c r="B87" s="793"/>
      <c r="C87" s="793">
        <v>2008</v>
      </c>
      <c r="D87" s="793"/>
      <c r="F87" s="6"/>
      <c r="H87" s="6"/>
      <c r="J87" s="6"/>
      <c r="K87" s="6"/>
      <c r="L87" s="6"/>
      <c r="M87" s="6"/>
      <c r="O87" s="1175"/>
      <c r="P87" s="1175"/>
      <c r="Q87" s="1175"/>
      <c r="R87" s="1175"/>
      <c r="S87" s="6"/>
      <c r="T87" s="6"/>
    </row>
    <row r="88" spans="1:20" s="1174" customFormat="1" x14ac:dyDescent="0.2">
      <c r="A88" s="241" t="s">
        <v>65</v>
      </c>
      <c r="B88" s="793"/>
      <c r="C88" s="793">
        <v>3542</v>
      </c>
      <c r="D88" s="793"/>
      <c r="F88" s="6"/>
      <c r="H88" s="6"/>
      <c r="J88" s="6"/>
      <c r="K88" s="6"/>
      <c r="L88" s="6"/>
      <c r="M88" s="6"/>
      <c r="O88" s="1175"/>
      <c r="P88" s="1175"/>
      <c r="Q88" s="1175"/>
      <c r="R88" s="1175"/>
      <c r="S88" s="6"/>
      <c r="T88" s="6"/>
    </row>
    <row r="89" spans="1:20" s="1174" customFormat="1" x14ac:dyDescent="0.2">
      <c r="A89" s="241" t="s">
        <v>66</v>
      </c>
      <c r="B89" s="793"/>
      <c r="C89" s="793">
        <v>3528</v>
      </c>
      <c r="D89" s="793"/>
      <c r="F89" s="6"/>
      <c r="H89" s="6"/>
      <c r="J89" s="6"/>
      <c r="K89" s="6"/>
      <c r="L89" s="6"/>
      <c r="M89" s="6"/>
      <c r="O89" s="1175"/>
      <c r="P89" s="1175"/>
      <c r="Q89" s="1175"/>
      <c r="R89" s="1175"/>
      <c r="S89" s="6"/>
      <c r="T89" s="6"/>
    </row>
    <row r="90" spans="1:20" s="1174" customFormat="1" x14ac:dyDescent="0.2">
      <c r="A90" s="241" t="s">
        <v>67</v>
      </c>
      <c r="B90" s="793"/>
      <c r="C90" s="793">
        <v>3534</v>
      </c>
      <c r="D90" s="793"/>
      <c r="F90" s="6"/>
      <c r="H90" s="6"/>
      <c r="J90" s="6"/>
      <c r="K90" s="6"/>
      <c r="L90" s="6"/>
      <c r="M90" s="6"/>
      <c r="O90" s="1175"/>
      <c r="P90" s="1175"/>
      <c r="Q90" s="1175"/>
      <c r="R90" s="1175"/>
      <c r="S90" s="6"/>
      <c r="T90" s="6"/>
    </row>
    <row r="91" spans="1:20" s="1174" customFormat="1" x14ac:dyDescent="0.2">
      <c r="A91" s="241" t="s">
        <v>68</v>
      </c>
      <c r="B91" s="793"/>
      <c r="C91" s="793">
        <v>3532</v>
      </c>
      <c r="D91" s="793"/>
      <c r="F91" s="6"/>
      <c r="H91" s="6"/>
      <c r="J91" s="6"/>
      <c r="K91" s="6"/>
      <c r="L91" s="6"/>
      <c r="M91" s="6"/>
      <c r="O91" s="1175"/>
      <c r="P91" s="1175"/>
      <c r="Q91" s="1175"/>
      <c r="R91" s="1175"/>
      <c r="S91" s="6"/>
      <c r="T91" s="6"/>
    </row>
    <row r="92" spans="1:20" s="1174" customFormat="1" x14ac:dyDescent="0.2">
      <c r="A92" s="241" t="s">
        <v>69</v>
      </c>
      <c r="B92" s="793"/>
      <c r="C92" s="793">
        <v>3546</v>
      </c>
      <c r="D92" s="793"/>
      <c r="F92" s="6"/>
      <c r="H92" s="6"/>
      <c r="J92" s="6"/>
      <c r="K92" s="6"/>
      <c r="L92" s="6"/>
      <c r="M92" s="6"/>
      <c r="O92" s="1175"/>
      <c r="P92" s="1175"/>
      <c r="Q92" s="1175"/>
      <c r="R92" s="1175"/>
      <c r="S92" s="6"/>
      <c r="T92" s="6"/>
    </row>
    <row r="93" spans="1:20" s="1174" customFormat="1" x14ac:dyDescent="0.2">
      <c r="A93" s="241" t="s">
        <v>107</v>
      </c>
      <c r="B93" s="793"/>
      <c r="C93" s="793">
        <v>3530</v>
      </c>
      <c r="D93" s="793"/>
      <c r="F93" s="6"/>
      <c r="H93" s="6"/>
      <c r="J93" s="6"/>
      <c r="K93" s="6"/>
      <c r="L93" s="6"/>
      <c r="M93" s="6"/>
      <c r="O93" s="1175"/>
      <c r="P93" s="1175"/>
      <c r="Q93" s="1175"/>
      <c r="R93" s="1175"/>
      <c r="S93" s="6"/>
      <c r="T93" s="6"/>
    </row>
    <row r="94" spans="1:20" s="1174" customFormat="1" x14ac:dyDescent="0.2">
      <c r="A94" s="241" t="s">
        <v>70</v>
      </c>
      <c r="B94" s="793"/>
      <c r="C94" s="793">
        <v>2459</v>
      </c>
      <c r="D94" s="793"/>
      <c r="F94" s="6"/>
      <c r="H94" s="6"/>
      <c r="J94" s="6"/>
      <c r="K94" s="6"/>
      <c r="L94" s="6"/>
      <c r="M94" s="6"/>
      <c r="O94" s="1175"/>
      <c r="P94" s="1175"/>
      <c r="Q94" s="1175"/>
      <c r="R94" s="1175"/>
      <c r="S94" s="6"/>
      <c r="T94" s="6"/>
    </row>
    <row r="95" spans="1:20" s="1174" customFormat="1" x14ac:dyDescent="0.2">
      <c r="A95" s="701"/>
      <c r="B95" s="793"/>
      <c r="D95" s="1175"/>
      <c r="F95" s="6"/>
      <c r="H95" s="6"/>
      <c r="J95" s="6"/>
      <c r="K95" s="6"/>
      <c r="L95" s="6"/>
      <c r="M95" s="6"/>
      <c r="O95" s="1175"/>
      <c r="P95" s="1175"/>
      <c r="Q95" s="1175"/>
      <c r="R95" s="1175"/>
      <c r="S95" s="6"/>
      <c r="T95" s="6"/>
    </row>
    <row r="96" spans="1:20" s="1174" customFormat="1" x14ac:dyDescent="0.2">
      <c r="A96" s="701"/>
      <c r="B96" s="793"/>
      <c r="D96" s="1175"/>
      <c r="F96" s="6"/>
      <c r="H96" s="6"/>
      <c r="J96" s="6"/>
      <c r="K96" s="6"/>
      <c r="L96" s="6"/>
      <c r="M96" s="6"/>
      <c r="O96" s="1175"/>
      <c r="P96" s="1175"/>
      <c r="Q96" s="1175"/>
      <c r="R96" s="1175"/>
      <c r="S96" s="6"/>
      <c r="T96" s="6"/>
    </row>
    <row r="97" spans="1:20" s="1174" customFormat="1" x14ac:dyDescent="0.2">
      <c r="A97" s="701"/>
      <c r="B97" s="793"/>
      <c r="D97" s="1175"/>
      <c r="F97" s="6"/>
      <c r="H97" s="6"/>
      <c r="J97" s="6"/>
      <c r="K97" s="6"/>
      <c r="L97" s="6"/>
      <c r="M97" s="6"/>
      <c r="O97" s="1175"/>
      <c r="P97" s="1175"/>
      <c r="Q97" s="1175"/>
      <c r="R97" s="1175"/>
      <c r="S97" s="6"/>
      <c r="T97" s="6"/>
    </row>
    <row r="98" spans="1:20" s="1174" customFormat="1" x14ac:dyDescent="0.2">
      <c r="A98" s="241"/>
      <c r="B98" s="793"/>
      <c r="D98" s="1175"/>
      <c r="F98" s="6"/>
      <c r="H98" s="6"/>
      <c r="J98" s="6"/>
      <c r="K98" s="6"/>
      <c r="L98" s="6"/>
      <c r="M98" s="6"/>
      <c r="O98" s="1175"/>
      <c r="P98" s="1175"/>
      <c r="Q98" s="1175"/>
      <c r="R98" s="1175"/>
      <c r="S98" s="6"/>
      <c r="T98" s="6"/>
    </row>
    <row r="99" spans="1:20" s="1174" customFormat="1" x14ac:dyDescent="0.2">
      <c r="A99" s="241" t="s">
        <v>82</v>
      </c>
      <c r="B99" s="241" t="s">
        <v>82</v>
      </c>
      <c r="D99" s="1175"/>
      <c r="F99" s="6"/>
      <c r="H99" s="6"/>
      <c r="J99" s="6"/>
      <c r="K99" s="6"/>
      <c r="L99" s="6"/>
      <c r="M99" s="6"/>
      <c r="O99" s="1175"/>
      <c r="P99" s="1175"/>
      <c r="Q99" s="1175"/>
      <c r="R99" s="1175"/>
      <c r="S99" s="6"/>
      <c r="T99" s="6"/>
    </row>
    <row r="100" spans="1:20" s="1174" customFormat="1" x14ac:dyDescent="0.2">
      <c r="A100" s="241"/>
      <c r="B100" s="793"/>
      <c r="D100" s="1175"/>
      <c r="F100" s="6"/>
      <c r="H100" s="6"/>
      <c r="J100" s="6"/>
      <c r="K100" s="6"/>
      <c r="L100" s="6"/>
      <c r="M100" s="6"/>
      <c r="O100" s="1175"/>
      <c r="P100" s="1175"/>
      <c r="Q100" s="1175"/>
      <c r="R100" s="1175"/>
      <c r="S100" s="6"/>
      <c r="T100" s="6"/>
    </row>
    <row r="101" spans="1:20" s="1174" customFormat="1" x14ac:dyDescent="0.2">
      <c r="A101" s="241" t="s">
        <v>71</v>
      </c>
      <c r="B101" s="793">
        <v>5402</v>
      </c>
      <c r="D101" s="1175"/>
      <c r="F101" s="6"/>
      <c r="H101" s="6"/>
      <c r="J101" s="6"/>
      <c r="K101" s="6"/>
      <c r="L101" s="6"/>
      <c r="M101" s="6"/>
      <c r="O101" s="1175"/>
      <c r="P101" s="1175"/>
      <c r="Q101" s="1175"/>
      <c r="R101" s="1175"/>
      <c r="S101" s="6"/>
      <c r="T101" s="6"/>
    </row>
    <row r="102" spans="1:20" s="1174" customFormat="1" x14ac:dyDescent="0.2">
      <c r="A102" s="241" t="s">
        <v>72</v>
      </c>
      <c r="B102" s="793">
        <v>4608</v>
      </c>
      <c r="D102" s="1175"/>
      <c r="F102" s="6"/>
      <c r="H102" s="6"/>
      <c r="J102" s="6"/>
      <c r="K102" s="6"/>
      <c r="L102" s="6"/>
      <c r="M102" s="6"/>
      <c r="O102" s="1175"/>
      <c r="P102" s="1175"/>
      <c r="Q102" s="1175"/>
      <c r="R102" s="1175"/>
      <c r="S102" s="6"/>
      <c r="T102" s="6"/>
    </row>
    <row r="103" spans="1:20" s="1174" customFormat="1" x14ac:dyDescent="0.2">
      <c r="A103" s="241" t="s">
        <v>73</v>
      </c>
      <c r="B103" s="793">
        <v>4178</v>
      </c>
      <c r="D103" s="1175"/>
      <c r="F103" s="6"/>
      <c r="H103" s="6"/>
      <c r="J103" s="6"/>
      <c r="K103" s="6"/>
      <c r="L103" s="6"/>
      <c r="M103" s="6"/>
      <c r="O103" s="1175"/>
      <c r="P103" s="1175"/>
      <c r="Q103" s="1175"/>
      <c r="R103" s="1175"/>
      <c r="S103" s="6"/>
      <c r="T103" s="6"/>
    </row>
    <row r="104" spans="1:20" s="1174" customFormat="1" x14ac:dyDescent="0.2">
      <c r="A104" s="241" t="s">
        <v>328</v>
      </c>
      <c r="B104" s="793">
        <v>4181</v>
      </c>
      <c r="D104" s="1175"/>
      <c r="F104" s="6"/>
      <c r="H104" s="6"/>
      <c r="J104" s="6"/>
      <c r="K104" s="6"/>
      <c r="L104" s="6"/>
      <c r="M104" s="6"/>
      <c r="O104" s="1175"/>
      <c r="P104" s="1175"/>
      <c r="Q104" s="1175"/>
      <c r="R104" s="1175"/>
      <c r="S104" s="6"/>
      <c r="T104" s="6"/>
    </row>
    <row r="105" spans="1:20" s="1174" customFormat="1" x14ac:dyDescent="0.2">
      <c r="A105" s="241" t="s">
        <v>74</v>
      </c>
      <c r="B105" s="793">
        <v>4182</v>
      </c>
      <c r="D105" s="1175"/>
      <c r="F105" s="6"/>
      <c r="H105" s="6"/>
      <c r="J105" s="6"/>
      <c r="K105" s="6"/>
      <c r="L105" s="6"/>
      <c r="M105" s="6"/>
      <c r="O105" s="1175"/>
      <c r="P105" s="1175"/>
      <c r="Q105" s="1175"/>
      <c r="R105" s="1175"/>
      <c r="S105" s="6"/>
      <c r="T105" s="6"/>
    </row>
    <row r="106" spans="1:20" s="1174" customFormat="1" x14ac:dyDescent="0.2">
      <c r="A106" s="241" t="s">
        <v>75</v>
      </c>
      <c r="B106" s="793">
        <v>4609</v>
      </c>
      <c r="D106" s="1175"/>
      <c r="F106" s="6"/>
      <c r="H106" s="6"/>
      <c r="J106" s="6"/>
      <c r="K106" s="6"/>
      <c r="L106" s="6"/>
      <c r="M106" s="6"/>
      <c r="O106" s="1175"/>
      <c r="P106" s="1175"/>
      <c r="Q106" s="1175"/>
      <c r="R106" s="1175"/>
      <c r="S106" s="6"/>
      <c r="T106" s="6"/>
    </row>
    <row r="107" spans="1:20" s="1174" customFormat="1" x14ac:dyDescent="0.2">
      <c r="A107" s="241" t="s">
        <v>76</v>
      </c>
      <c r="B107" s="793">
        <v>5406</v>
      </c>
      <c r="D107" s="1175"/>
      <c r="F107" s="6"/>
      <c r="H107" s="6"/>
      <c r="J107" s="6"/>
      <c r="K107" s="6"/>
      <c r="L107" s="6"/>
      <c r="M107" s="6"/>
      <c r="O107" s="1175"/>
      <c r="P107" s="1175"/>
      <c r="Q107" s="1175"/>
      <c r="R107" s="1175"/>
      <c r="S107" s="6"/>
      <c r="T107" s="6"/>
    </row>
    <row r="108" spans="1:20" s="1174" customFormat="1" x14ac:dyDescent="0.2">
      <c r="A108" s="241" t="s">
        <v>77</v>
      </c>
      <c r="B108" s="793">
        <v>5407</v>
      </c>
      <c r="D108" s="1175"/>
      <c r="F108" s="6"/>
      <c r="H108" s="6"/>
      <c r="J108" s="6"/>
      <c r="K108" s="6"/>
      <c r="L108" s="6"/>
      <c r="M108" s="6"/>
      <c r="O108" s="1175"/>
      <c r="P108" s="1175"/>
      <c r="Q108" s="1175"/>
      <c r="R108" s="1175"/>
      <c r="S108" s="6"/>
      <c r="T108" s="6"/>
    </row>
    <row r="109" spans="1:20" s="1174" customFormat="1" x14ac:dyDescent="0.2">
      <c r="A109" s="241" t="s">
        <v>625</v>
      </c>
      <c r="B109" s="793">
        <v>4607</v>
      </c>
      <c r="D109" s="1175"/>
      <c r="F109" s="6"/>
      <c r="H109" s="6"/>
      <c r="J109" s="6"/>
      <c r="K109" s="6"/>
      <c r="L109" s="6"/>
      <c r="M109" s="6"/>
      <c r="O109" s="1175"/>
      <c r="P109" s="1175"/>
      <c r="Q109" s="1175"/>
      <c r="R109" s="1175"/>
      <c r="S109" s="6"/>
      <c r="T109" s="6"/>
    </row>
    <row r="110" spans="1:20" s="1174" customFormat="1" x14ac:dyDescent="0.2">
      <c r="A110" s="241" t="s">
        <v>78</v>
      </c>
      <c r="B110" s="793">
        <v>4158</v>
      </c>
      <c r="D110" s="1175"/>
      <c r="F110" s="6"/>
      <c r="H110" s="6"/>
      <c r="J110" s="6"/>
      <c r="K110" s="6"/>
      <c r="L110" s="6"/>
      <c r="M110" s="6"/>
      <c r="O110" s="1175"/>
      <c r="P110" s="1175"/>
      <c r="Q110" s="1175"/>
      <c r="R110" s="1175"/>
      <c r="S110" s="6"/>
      <c r="T110" s="6"/>
    </row>
    <row r="111" spans="1:20" s="1174" customFormat="1" x14ac:dyDescent="0.2">
      <c r="A111" s="241" t="s">
        <v>79</v>
      </c>
      <c r="B111" s="793">
        <v>4177</v>
      </c>
      <c r="D111" s="1175"/>
      <c r="F111" s="6"/>
      <c r="H111" s="6"/>
      <c r="J111" s="6"/>
      <c r="K111" s="6"/>
      <c r="L111" s="6"/>
      <c r="M111" s="6"/>
      <c r="O111" s="1175"/>
      <c r="P111" s="1175"/>
      <c r="Q111" s="1175"/>
      <c r="R111" s="1175"/>
      <c r="S111" s="6"/>
      <c r="T111" s="6"/>
    </row>
    <row r="112" spans="1:20" s="1174" customFormat="1" x14ac:dyDescent="0.2">
      <c r="A112" s="241" t="s">
        <v>80</v>
      </c>
      <c r="B112" s="793">
        <v>5412</v>
      </c>
      <c r="D112" s="1175"/>
      <c r="F112" s="6"/>
      <c r="H112" s="6"/>
      <c r="J112" s="6"/>
      <c r="K112" s="6"/>
      <c r="L112" s="6"/>
      <c r="M112" s="6"/>
      <c r="O112" s="1175"/>
      <c r="P112" s="1175"/>
      <c r="Q112" s="1175"/>
      <c r="R112" s="1175"/>
      <c r="S112" s="6"/>
      <c r="T112" s="6"/>
    </row>
    <row r="113" spans="1:20" s="1174" customFormat="1" x14ac:dyDescent="0.2">
      <c r="A113" s="241" t="s">
        <v>624</v>
      </c>
      <c r="B113" s="793">
        <v>5414</v>
      </c>
      <c r="D113" s="1175"/>
      <c r="F113" s="6"/>
      <c r="H113" s="6"/>
      <c r="J113" s="6"/>
      <c r="K113" s="6"/>
      <c r="L113" s="6"/>
      <c r="M113" s="6"/>
      <c r="O113" s="1175"/>
      <c r="P113" s="1175"/>
      <c r="Q113" s="1175"/>
      <c r="R113" s="1175"/>
      <c r="S113" s="6"/>
      <c r="T113" s="6"/>
    </row>
  </sheetData>
  <sheetProtection password="EF5C" sheet="1" objects="1" scenarios="1"/>
  <pageMargins left="0.7" right="0.7" top="0.75" bottom="0.75" header="0.3" footer="0.3"/>
  <pageSetup paperSize="8" scale="4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0"/>
  <sheetViews>
    <sheetView workbookViewId="0">
      <selection sqref="A1:XFD1048576"/>
    </sheetView>
  </sheetViews>
  <sheetFormatPr defaultRowHeight="12.75" x14ac:dyDescent="0.2"/>
  <cols>
    <col min="1" max="1" width="58.140625" style="867" bestFit="1" customWidth="1"/>
    <col min="2" max="2" width="10.42578125" style="867" bestFit="1" customWidth="1"/>
    <col min="3" max="3" width="9.5703125" style="868" bestFit="1" customWidth="1"/>
    <col min="4" max="16384" width="9.140625" style="867"/>
  </cols>
  <sheetData>
    <row r="1" spans="1:4" x14ac:dyDescent="0.2">
      <c r="A1" s="866" t="s">
        <v>1068</v>
      </c>
    </row>
    <row r="2" spans="1:4" ht="38.25" x14ac:dyDescent="0.2">
      <c r="A2" s="869" t="s">
        <v>1069</v>
      </c>
      <c r="B2" s="869" t="s">
        <v>1070</v>
      </c>
      <c r="C2" s="869" t="s">
        <v>1071</v>
      </c>
    </row>
    <row r="3" spans="1:4" x14ac:dyDescent="0.2">
      <c r="A3" s="870" t="s">
        <v>1072</v>
      </c>
      <c r="B3" s="870" t="s">
        <v>1073</v>
      </c>
      <c r="C3" s="870">
        <v>206189</v>
      </c>
      <c r="D3" s="867" t="s">
        <v>1074</v>
      </c>
    </row>
    <row r="4" spans="1:4" x14ac:dyDescent="0.2">
      <c r="A4" s="870" t="s">
        <v>4</v>
      </c>
      <c r="B4" s="870" t="s">
        <v>810</v>
      </c>
      <c r="C4" s="870">
        <v>2443</v>
      </c>
      <c r="D4" s="867" t="s">
        <v>1075</v>
      </c>
    </row>
    <row r="5" spans="1:4" x14ac:dyDescent="0.2">
      <c r="A5" s="871" t="s">
        <v>1076</v>
      </c>
      <c r="B5" s="870"/>
      <c r="C5" s="871" t="s">
        <v>1077</v>
      </c>
      <c r="D5" s="867" t="s">
        <v>1074</v>
      </c>
    </row>
    <row r="6" spans="1:4" x14ac:dyDescent="0.2">
      <c r="A6" s="870" t="s">
        <v>6</v>
      </c>
      <c r="B6" s="870" t="s">
        <v>812</v>
      </c>
      <c r="C6" s="870">
        <v>2629</v>
      </c>
      <c r="D6" s="867" t="s">
        <v>1075</v>
      </c>
    </row>
    <row r="7" spans="1:4" x14ac:dyDescent="0.2">
      <c r="A7" s="870" t="s">
        <v>304</v>
      </c>
      <c r="B7" s="870" t="s">
        <v>800</v>
      </c>
      <c r="C7" s="870">
        <v>1014</v>
      </c>
      <c r="D7" s="867" t="s">
        <v>1078</v>
      </c>
    </row>
    <row r="8" spans="1:4" x14ac:dyDescent="0.2">
      <c r="A8" s="870" t="s">
        <v>9</v>
      </c>
      <c r="B8" s="870" t="s">
        <v>815</v>
      </c>
      <c r="C8" s="870">
        <v>2464</v>
      </c>
      <c r="D8" s="867" t="s">
        <v>1075</v>
      </c>
    </row>
    <row r="9" spans="1:4" x14ac:dyDescent="0.2">
      <c r="A9" s="870" t="s">
        <v>10</v>
      </c>
      <c r="B9" s="870" t="s">
        <v>816</v>
      </c>
      <c r="C9" s="870">
        <v>2004</v>
      </c>
      <c r="D9" s="867" t="s">
        <v>1075</v>
      </c>
    </row>
    <row r="10" spans="1:4" x14ac:dyDescent="0.2">
      <c r="A10" s="870" t="s">
        <v>11</v>
      </c>
      <c r="B10" s="870" t="s">
        <v>817</v>
      </c>
      <c r="C10" s="870">
        <v>2405</v>
      </c>
      <c r="D10" s="867" t="s">
        <v>1075</v>
      </c>
    </row>
    <row r="11" spans="1:4" x14ac:dyDescent="0.2">
      <c r="A11" s="870" t="s">
        <v>1079</v>
      </c>
      <c r="B11" s="870" t="s">
        <v>1080</v>
      </c>
      <c r="C11" s="870" t="s">
        <v>1081</v>
      </c>
      <c r="D11" s="867" t="s">
        <v>1074</v>
      </c>
    </row>
    <row r="12" spans="1:4" x14ac:dyDescent="0.2">
      <c r="A12" s="870" t="s">
        <v>313</v>
      </c>
      <c r="B12" s="870" t="s">
        <v>818</v>
      </c>
      <c r="C12" s="870">
        <v>3525</v>
      </c>
      <c r="D12" s="867" t="s">
        <v>1075</v>
      </c>
    </row>
    <row r="13" spans="1:4" x14ac:dyDescent="0.2">
      <c r="A13" s="871" t="s">
        <v>1082</v>
      </c>
      <c r="B13" s="870"/>
      <c r="C13" s="871" t="s">
        <v>1083</v>
      </c>
      <c r="D13" s="867" t="s">
        <v>1074</v>
      </c>
    </row>
    <row r="14" spans="1:4" x14ac:dyDescent="0.2">
      <c r="A14" s="870" t="s">
        <v>12</v>
      </c>
      <c r="B14" s="870" t="s">
        <v>819</v>
      </c>
      <c r="C14" s="870">
        <v>5201</v>
      </c>
      <c r="D14" s="867" t="s">
        <v>1075</v>
      </c>
    </row>
    <row r="15" spans="1:4" x14ac:dyDescent="0.2">
      <c r="A15" s="870" t="s">
        <v>1084</v>
      </c>
      <c r="B15" s="870" t="s">
        <v>1085</v>
      </c>
      <c r="C15" s="870">
        <v>206124</v>
      </c>
      <c r="D15" s="867" t="s">
        <v>1086</v>
      </c>
    </row>
    <row r="16" spans="1:4" x14ac:dyDescent="0.2">
      <c r="A16" s="870" t="s">
        <v>14</v>
      </c>
      <c r="B16" s="870" t="s">
        <v>821</v>
      </c>
      <c r="C16" s="870">
        <v>2433</v>
      </c>
      <c r="D16" s="867" t="s">
        <v>1075</v>
      </c>
    </row>
    <row r="17" spans="1:4" x14ac:dyDescent="0.2">
      <c r="A17" s="870" t="s">
        <v>1087</v>
      </c>
      <c r="B17" s="870" t="s">
        <v>1088</v>
      </c>
      <c r="C17" s="870" t="s">
        <v>1089</v>
      </c>
      <c r="D17" s="867" t="s">
        <v>1086</v>
      </c>
    </row>
    <row r="18" spans="1:4" x14ac:dyDescent="0.2">
      <c r="A18" s="870" t="s">
        <v>16</v>
      </c>
      <c r="B18" s="870" t="s">
        <v>823</v>
      </c>
      <c r="C18" s="870">
        <v>2446</v>
      </c>
      <c r="D18" s="867" t="s">
        <v>1075</v>
      </c>
    </row>
    <row r="19" spans="1:4" x14ac:dyDescent="0.2">
      <c r="A19" s="870" t="s">
        <v>18</v>
      </c>
      <c r="B19" s="870" t="s">
        <v>825</v>
      </c>
      <c r="C19" s="870">
        <v>2512</v>
      </c>
      <c r="D19" s="867" t="s">
        <v>1075</v>
      </c>
    </row>
    <row r="20" spans="1:4" x14ac:dyDescent="0.2">
      <c r="A20" s="870" t="s">
        <v>1090</v>
      </c>
      <c r="B20" s="870" t="s">
        <v>1091</v>
      </c>
      <c r="C20" s="870">
        <v>206126</v>
      </c>
      <c r="D20" s="867" t="s">
        <v>1086</v>
      </c>
    </row>
    <row r="21" spans="1:4" x14ac:dyDescent="0.2">
      <c r="A21" s="870" t="s">
        <v>1092</v>
      </c>
      <c r="B21" s="870" t="s">
        <v>1093</v>
      </c>
      <c r="C21" s="870">
        <v>206111</v>
      </c>
      <c r="D21" s="867" t="s">
        <v>1074</v>
      </c>
    </row>
    <row r="22" spans="1:4" x14ac:dyDescent="0.2">
      <c r="A22" s="870" t="s">
        <v>1094</v>
      </c>
      <c r="B22" s="870" t="s">
        <v>1095</v>
      </c>
      <c r="C22" s="870">
        <v>206091</v>
      </c>
      <c r="D22" s="867" t="s">
        <v>1074</v>
      </c>
    </row>
    <row r="23" spans="1:4" x14ac:dyDescent="0.2">
      <c r="A23" s="870" t="s">
        <v>19</v>
      </c>
      <c r="B23" s="870" t="s">
        <v>826</v>
      </c>
      <c r="C23" s="870">
        <v>2456</v>
      </c>
      <c r="D23" s="867" t="s">
        <v>1075</v>
      </c>
    </row>
    <row r="24" spans="1:4" x14ac:dyDescent="0.2">
      <c r="A24" s="870" t="s">
        <v>305</v>
      </c>
      <c r="B24" s="870" t="s">
        <v>802</v>
      </c>
      <c r="C24" s="870">
        <v>1017</v>
      </c>
      <c r="D24" s="867" t="s">
        <v>1078</v>
      </c>
    </row>
    <row r="25" spans="1:4" x14ac:dyDescent="0.2">
      <c r="A25" s="870" t="s">
        <v>20</v>
      </c>
      <c r="B25" s="870" t="s">
        <v>827</v>
      </c>
      <c r="C25" s="870">
        <v>2449</v>
      </c>
      <c r="D25" s="867" t="s">
        <v>1075</v>
      </c>
    </row>
    <row r="26" spans="1:4" x14ac:dyDescent="0.2">
      <c r="A26" s="870" t="s">
        <v>306</v>
      </c>
      <c r="B26" s="870" t="s">
        <v>803</v>
      </c>
      <c r="C26" s="870">
        <v>1006</v>
      </c>
      <c r="D26" s="867" t="s">
        <v>1078</v>
      </c>
    </row>
    <row r="27" spans="1:4" x14ac:dyDescent="0.2">
      <c r="A27" s="870" t="s">
        <v>22</v>
      </c>
      <c r="B27" s="870" t="s">
        <v>829</v>
      </c>
      <c r="C27" s="870">
        <v>2467</v>
      </c>
      <c r="D27" s="867" t="s">
        <v>1075</v>
      </c>
    </row>
    <row r="28" spans="1:4" x14ac:dyDescent="0.2">
      <c r="A28" s="870" t="s">
        <v>1096</v>
      </c>
      <c r="B28" s="870" t="s">
        <v>833</v>
      </c>
      <c r="C28" s="870">
        <v>2451</v>
      </c>
      <c r="D28" s="867" t="s">
        <v>1075</v>
      </c>
    </row>
    <row r="29" spans="1:4" x14ac:dyDescent="0.2">
      <c r="A29" s="871" t="s">
        <v>1097</v>
      </c>
      <c r="B29" s="870"/>
      <c r="C29" s="871" t="s">
        <v>1098</v>
      </c>
      <c r="D29" s="867" t="s">
        <v>1074</v>
      </c>
    </row>
    <row r="30" spans="1:4" x14ac:dyDescent="0.2">
      <c r="A30" s="870" t="s">
        <v>1099</v>
      </c>
      <c r="B30" s="870" t="s">
        <v>1100</v>
      </c>
      <c r="C30" s="870">
        <v>206128</v>
      </c>
      <c r="D30" s="872" t="s">
        <v>1086</v>
      </c>
    </row>
    <row r="31" spans="1:4" x14ac:dyDescent="0.2">
      <c r="A31" s="873" t="s">
        <v>1101</v>
      </c>
      <c r="B31" s="874"/>
      <c r="C31" s="874" t="s">
        <v>1102</v>
      </c>
      <c r="D31" s="872" t="s">
        <v>1086</v>
      </c>
    </row>
    <row r="32" spans="1:4" x14ac:dyDescent="0.2">
      <c r="A32" s="875" t="s">
        <v>1103</v>
      </c>
      <c r="B32" s="876"/>
      <c r="C32" s="876">
        <v>205999</v>
      </c>
      <c r="D32" s="867" t="s">
        <v>1086</v>
      </c>
    </row>
    <row r="33" spans="1:4" x14ac:dyDescent="0.2">
      <c r="A33" s="875" t="s">
        <v>1104</v>
      </c>
      <c r="B33" s="876"/>
      <c r="C33" s="876">
        <v>205921</v>
      </c>
      <c r="D33" s="867" t="s">
        <v>1086</v>
      </c>
    </row>
    <row r="34" spans="1:4" x14ac:dyDescent="0.2">
      <c r="A34" s="877" t="s">
        <v>1105</v>
      </c>
      <c r="B34" s="876"/>
      <c r="C34" s="876">
        <v>205922</v>
      </c>
      <c r="D34" s="867" t="s">
        <v>1086</v>
      </c>
    </row>
    <row r="35" spans="1:4" x14ac:dyDescent="0.2">
      <c r="A35" s="873" t="s">
        <v>1106</v>
      </c>
      <c r="B35" s="874"/>
      <c r="C35" s="874" t="s">
        <v>1107</v>
      </c>
      <c r="D35" s="867" t="s">
        <v>1086</v>
      </c>
    </row>
    <row r="36" spans="1:4" x14ac:dyDescent="0.2">
      <c r="A36" s="878" t="s">
        <v>1108</v>
      </c>
      <c r="B36" s="874"/>
      <c r="C36" s="874">
        <v>205849</v>
      </c>
      <c r="D36" s="867" t="s">
        <v>1086</v>
      </c>
    </row>
    <row r="37" spans="1:4" x14ac:dyDescent="0.2">
      <c r="A37" s="875" t="s">
        <v>1109</v>
      </c>
      <c r="B37" s="876"/>
      <c r="C37" s="876" t="s">
        <v>1110</v>
      </c>
      <c r="D37" s="867" t="s">
        <v>1086</v>
      </c>
    </row>
    <row r="38" spans="1:4" x14ac:dyDescent="0.2">
      <c r="A38" s="878" t="s">
        <v>1111</v>
      </c>
      <c r="B38" s="876"/>
      <c r="C38" s="876">
        <v>2</v>
      </c>
      <c r="D38" s="867" t="s">
        <v>1086</v>
      </c>
    </row>
    <row r="39" spans="1:4" x14ac:dyDescent="0.2">
      <c r="A39" s="873" t="s">
        <v>1112</v>
      </c>
      <c r="B39" s="874"/>
      <c r="C39" s="874">
        <v>205956</v>
      </c>
      <c r="D39" s="867" t="s">
        <v>1086</v>
      </c>
    </row>
    <row r="40" spans="1:4" x14ac:dyDescent="0.2">
      <c r="A40" s="873" t="s">
        <v>1113</v>
      </c>
      <c r="B40" s="874"/>
      <c r="C40" s="874" t="s">
        <v>1114</v>
      </c>
      <c r="D40" s="867" t="s">
        <v>1086</v>
      </c>
    </row>
    <row r="41" spans="1:4" x14ac:dyDescent="0.2">
      <c r="A41" s="875" t="s">
        <v>1115</v>
      </c>
      <c r="B41" s="874"/>
      <c r="C41" s="874" t="s">
        <v>1116</v>
      </c>
      <c r="D41" s="867" t="s">
        <v>1086</v>
      </c>
    </row>
    <row r="42" spans="1:4" x14ac:dyDescent="0.2">
      <c r="A42" s="875" t="s">
        <v>1117</v>
      </c>
      <c r="B42" s="874"/>
      <c r="C42" s="874" t="s">
        <v>1118</v>
      </c>
      <c r="D42" s="867" t="s">
        <v>1086</v>
      </c>
    </row>
    <row r="43" spans="1:4" x14ac:dyDescent="0.2">
      <c r="A43" s="873" t="s">
        <v>1119</v>
      </c>
      <c r="B43" s="874"/>
      <c r="C43" s="874" t="s">
        <v>1120</v>
      </c>
      <c r="D43" s="867" t="s">
        <v>1086</v>
      </c>
    </row>
    <row r="44" spans="1:4" x14ac:dyDescent="0.2">
      <c r="A44" s="877" t="s">
        <v>1121</v>
      </c>
      <c r="B44" s="874"/>
      <c r="C44" s="874" t="s">
        <v>1122</v>
      </c>
      <c r="D44" s="867" t="s">
        <v>1086</v>
      </c>
    </row>
    <row r="45" spans="1:4" ht="15" x14ac:dyDescent="0.2">
      <c r="A45" s="879" t="s">
        <v>1123</v>
      </c>
      <c r="B45" s="880"/>
      <c r="C45" s="880" t="s">
        <v>1124</v>
      </c>
      <c r="D45" s="867" t="s">
        <v>1086</v>
      </c>
    </row>
    <row r="46" spans="1:4" x14ac:dyDescent="0.2">
      <c r="A46" s="881" t="s">
        <v>1125</v>
      </c>
      <c r="B46" s="882"/>
      <c r="C46" s="882" t="s">
        <v>1126</v>
      </c>
      <c r="D46" s="867" t="s">
        <v>1086</v>
      </c>
    </row>
    <row r="47" spans="1:4" x14ac:dyDescent="0.2">
      <c r="A47" s="883" t="s">
        <v>1127</v>
      </c>
      <c r="B47" s="870"/>
      <c r="C47" s="884" t="s">
        <v>1128</v>
      </c>
      <c r="D47" s="867" t="s">
        <v>1086</v>
      </c>
    </row>
    <row r="48" spans="1:4" x14ac:dyDescent="0.2">
      <c r="A48" s="870" t="s">
        <v>1129</v>
      </c>
      <c r="B48" s="870" t="s">
        <v>1130</v>
      </c>
      <c r="C48" s="870" t="s">
        <v>1131</v>
      </c>
      <c r="D48" s="867" t="s">
        <v>1086</v>
      </c>
    </row>
    <row r="49" spans="1:4" x14ac:dyDescent="0.2">
      <c r="A49" s="870" t="s">
        <v>29</v>
      </c>
      <c r="B49" s="870" t="s">
        <v>835</v>
      </c>
      <c r="C49" s="870">
        <v>2619</v>
      </c>
      <c r="D49" s="867" t="s">
        <v>1075</v>
      </c>
    </row>
    <row r="50" spans="1:4" x14ac:dyDescent="0.2">
      <c r="A50" s="870" t="s">
        <v>1132</v>
      </c>
      <c r="B50" s="870"/>
      <c r="C50" s="871" t="s">
        <v>1133</v>
      </c>
      <c r="D50" s="867" t="s">
        <v>1086</v>
      </c>
    </row>
    <row r="51" spans="1:4" x14ac:dyDescent="0.2">
      <c r="A51" s="870" t="s">
        <v>1134</v>
      </c>
      <c r="B51" s="870" t="s">
        <v>1135</v>
      </c>
      <c r="C51" s="870">
        <v>258417</v>
      </c>
      <c r="D51" s="867" t="s">
        <v>1086</v>
      </c>
    </row>
    <row r="52" spans="1:4" x14ac:dyDescent="0.2">
      <c r="A52" s="870" t="s">
        <v>1136</v>
      </c>
      <c r="B52" s="870" t="s">
        <v>1137</v>
      </c>
      <c r="C52" s="870" t="s">
        <v>1138</v>
      </c>
      <c r="D52" s="867" t="s">
        <v>1074</v>
      </c>
    </row>
    <row r="53" spans="1:4" x14ac:dyDescent="0.2">
      <c r="A53" s="870" t="s">
        <v>1139</v>
      </c>
      <c r="B53" s="870" t="s">
        <v>1140</v>
      </c>
      <c r="C53" s="870" t="s">
        <v>1141</v>
      </c>
      <c r="D53" s="867" t="s">
        <v>1086</v>
      </c>
    </row>
    <row r="54" spans="1:4" x14ac:dyDescent="0.2">
      <c r="A54" s="870" t="s">
        <v>30</v>
      </c>
      <c r="B54" s="870" t="s">
        <v>836</v>
      </c>
      <c r="C54" s="870">
        <v>2518</v>
      </c>
      <c r="D54" s="867" t="s">
        <v>1075</v>
      </c>
    </row>
    <row r="55" spans="1:4" x14ac:dyDescent="0.2">
      <c r="A55" s="870" t="s">
        <v>1142</v>
      </c>
      <c r="B55" s="870" t="s">
        <v>1143</v>
      </c>
      <c r="C55" s="870">
        <v>206106</v>
      </c>
      <c r="D55" s="867" t="s">
        <v>1074</v>
      </c>
    </row>
    <row r="56" spans="1:4" x14ac:dyDescent="0.2">
      <c r="A56" s="871" t="s">
        <v>1144</v>
      </c>
      <c r="B56" s="870"/>
      <c r="C56" s="871" t="s">
        <v>1145</v>
      </c>
      <c r="D56" s="867" t="s">
        <v>1074</v>
      </c>
    </row>
    <row r="57" spans="1:4" x14ac:dyDescent="0.2">
      <c r="A57" s="870" t="s">
        <v>1146</v>
      </c>
      <c r="B57" s="870"/>
      <c r="C57" s="870">
        <v>2515</v>
      </c>
      <c r="D57" s="867" t="s">
        <v>1075</v>
      </c>
    </row>
    <row r="58" spans="1:4" x14ac:dyDescent="0.2">
      <c r="A58" s="870" t="s">
        <v>33</v>
      </c>
      <c r="B58" s="870" t="s">
        <v>839</v>
      </c>
      <c r="C58" s="870">
        <v>2002</v>
      </c>
      <c r="D58" s="867" t="s">
        <v>1075</v>
      </c>
    </row>
    <row r="59" spans="1:4" x14ac:dyDescent="0.2">
      <c r="A59" s="870" t="s">
        <v>34</v>
      </c>
      <c r="B59" s="870" t="s">
        <v>840</v>
      </c>
      <c r="C59" s="870">
        <v>3544</v>
      </c>
      <c r="D59" s="867" t="s">
        <v>1075</v>
      </c>
    </row>
    <row r="60" spans="1:4" x14ac:dyDescent="0.2">
      <c r="A60" s="870" t="s">
        <v>307</v>
      </c>
      <c r="B60" s="870" t="s">
        <v>804</v>
      </c>
      <c r="C60" s="870">
        <v>1008</v>
      </c>
      <c r="D60" s="867" t="s">
        <v>1078</v>
      </c>
    </row>
    <row r="61" spans="1:4" x14ac:dyDescent="0.2">
      <c r="A61" s="870" t="s">
        <v>1147</v>
      </c>
      <c r="B61" s="870" t="s">
        <v>1093</v>
      </c>
      <c r="C61" s="870" t="s">
        <v>1148</v>
      </c>
      <c r="D61" s="867" t="s">
        <v>1086</v>
      </c>
    </row>
    <row r="62" spans="1:4" x14ac:dyDescent="0.2">
      <c r="A62" s="870" t="s">
        <v>314</v>
      </c>
      <c r="B62" s="870" t="s">
        <v>841</v>
      </c>
      <c r="C62" s="870">
        <v>2006</v>
      </c>
      <c r="D62" s="867" t="s">
        <v>1075</v>
      </c>
    </row>
    <row r="63" spans="1:4" x14ac:dyDescent="0.2">
      <c r="A63" s="871" t="s">
        <v>1149</v>
      </c>
      <c r="B63" s="870"/>
      <c r="C63" s="871" t="s">
        <v>1150</v>
      </c>
      <c r="D63" s="867" t="s">
        <v>1074</v>
      </c>
    </row>
    <row r="64" spans="1:4" x14ac:dyDescent="0.2">
      <c r="A64" s="870" t="s">
        <v>1151</v>
      </c>
      <c r="B64" s="870" t="s">
        <v>1152</v>
      </c>
      <c r="C64" s="870">
        <v>206133</v>
      </c>
      <c r="D64" s="867" t="s">
        <v>1086</v>
      </c>
    </row>
    <row r="65" spans="1:4" x14ac:dyDescent="0.2">
      <c r="A65" s="870" t="s">
        <v>1153</v>
      </c>
      <c r="B65" s="870" t="s">
        <v>1154</v>
      </c>
      <c r="C65" s="870" t="s">
        <v>1155</v>
      </c>
      <c r="D65" s="867" t="s">
        <v>1074</v>
      </c>
    </row>
    <row r="66" spans="1:4" x14ac:dyDescent="0.2">
      <c r="A66" s="870" t="s">
        <v>1156</v>
      </c>
      <c r="B66" s="870" t="s">
        <v>1157</v>
      </c>
      <c r="C66" s="870">
        <v>206134</v>
      </c>
      <c r="D66" s="867" t="s">
        <v>1086</v>
      </c>
    </row>
    <row r="67" spans="1:4" x14ac:dyDescent="0.2">
      <c r="A67" s="870" t="s">
        <v>1158</v>
      </c>
      <c r="B67" s="870"/>
      <c r="C67" s="870" t="s">
        <v>1159</v>
      </c>
      <c r="D67" s="867" t="s">
        <v>1074</v>
      </c>
    </row>
    <row r="68" spans="1:4" x14ac:dyDescent="0.2">
      <c r="A68" s="870" t="s">
        <v>1160</v>
      </c>
      <c r="B68" s="870"/>
      <c r="C68" s="870" t="s">
        <v>1161</v>
      </c>
      <c r="D68" s="867" t="s">
        <v>1074</v>
      </c>
    </row>
    <row r="69" spans="1:4" x14ac:dyDescent="0.2">
      <c r="A69" s="870" t="s">
        <v>1162</v>
      </c>
      <c r="B69" s="870" t="s">
        <v>1163</v>
      </c>
      <c r="C69" s="870">
        <v>206109</v>
      </c>
      <c r="D69" s="867" t="s">
        <v>1074</v>
      </c>
    </row>
    <row r="70" spans="1:4" x14ac:dyDescent="0.2">
      <c r="A70" s="870" t="s">
        <v>36</v>
      </c>
      <c r="B70" s="870" t="s">
        <v>842</v>
      </c>
      <c r="C70" s="870">
        <v>2434</v>
      </c>
      <c r="D70" s="867" t="s">
        <v>1075</v>
      </c>
    </row>
    <row r="71" spans="1:4" x14ac:dyDescent="0.2">
      <c r="A71" s="870" t="s">
        <v>1164</v>
      </c>
      <c r="B71" s="870" t="s">
        <v>1165</v>
      </c>
      <c r="C71" s="870">
        <v>206110</v>
      </c>
      <c r="D71" s="867" t="s">
        <v>1074</v>
      </c>
    </row>
    <row r="72" spans="1:4" x14ac:dyDescent="0.2">
      <c r="A72" s="870" t="s">
        <v>1166</v>
      </c>
      <c r="B72" s="870" t="s">
        <v>1167</v>
      </c>
      <c r="C72" s="870">
        <v>206135</v>
      </c>
      <c r="D72" s="867" t="s">
        <v>1086</v>
      </c>
    </row>
    <row r="73" spans="1:4" x14ac:dyDescent="0.2">
      <c r="A73" s="870" t="s">
        <v>1168</v>
      </c>
      <c r="B73" s="870" t="s">
        <v>1169</v>
      </c>
      <c r="C73" s="870">
        <v>509195</v>
      </c>
      <c r="D73" s="867" t="s">
        <v>1074</v>
      </c>
    </row>
    <row r="74" spans="1:4" x14ac:dyDescent="0.2">
      <c r="A74" s="883" t="s">
        <v>1170</v>
      </c>
      <c r="B74" s="870"/>
      <c r="C74" s="884" t="s">
        <v>1171</v>
      </c>
      <c r="D74" s="867" t="s">
        <v>1074</v>
      </c>
    </row>
    <row r="75" spans="1:4" x14ac:dyDescent="0.2">
      <c r="A75" s="870" t="s">
        <v>1172</v>
      </c>
      <c r="B75" s="870" t="s">
        <v>1173</v>
      </c>
      <c r="C75" s="870" t="s">
        <v>1174</v>
      </c>
      <c r="D75" s="867" t="s">
        <v>1086</v>
      </c>
    </row>
    <row r="76" spans="1:4" x14ac:dyDescent="0.2">
      <c r="A76" s="870" t="s">
        <v>1175</v>
      </c>
      <c r="B76" s="870" t="s">
        <v>1176</v>
      </c>
      <c r="C76" s="870">
        <v>509199</v>
      </c>
      <c r="D76" s="867" t="s">
        <v>1074</v>
      </c>
    </row>
    <row r="77" spans="1:4" x14ac:dyDescent="0.2">
      <c r="A77" s="870" t="s">
        <v>1177</v>
      </c>
      <c r="B77" s="870" t="s">
        <v>1178</v>
      </c>
      <c r="C77" s="870">
        <v>509197</v>
      </c>
      <c r="D77" s="867" t="s">
        <v>1074</v>
      </c>
    </row>
    <row r="78" spans="1:4" x14ac:dyDescent="0.2">
      <c r="A78" s="870" t="s">
        <v>1179</v>
      </c>
      <c r="B78" s="870" t="s">
        <v>1180</v>
      </c>
      <c r="C78" s="870" t="s">
        <v>1181</v>
      </c>
      <c r="D78" s="867" t="s">
        <v>1086</v>
      </c>
    </row>
    <row r="79" spans="1:4" x14ac:dyDescent="0.2">
      <c r="A79" s="870" t="s">
        <v>308</v>
      </c>
      <c r="B79" s="870" t="s">
        <v>805</v>
      </c>
      <c r="C79" s="870">
        <v>1005</v>
      </c>
      <c r="D79" s="867" t="s">
        <v>1078</v>
      </c>
    </row>
    <row r="80" spans="1:4" x14ac:dyDescent="0.2">
      <c r="A80" s="870" t="s">
        <v>1182</v>
      </c>
      <c r="B80" s="870" t="s">
        <v>1183</v>
      </c>
      <c r="C80" s="870">
        <v>206117</v>
      </c>
      <c r="D80" s="867" t="s">
        <v>1074</v>
      </c>
    </row>
    <row r="81" spans="1:4" x14ac:dyDescent="0.2">
      <c r="A81" s="870" t="s">
        <v>39</v>
      </c>
      <c r="B81" s="870" t="s">
        <v>845</v>
      </c>
      <c r="C81" s="870">
        <v>2452</v>
      </c>
      <c r="D81" s="867" t="s">
        <v>1075</v>
      </c>
    </row>
    <row r="82" spans="1:4" x14ac:dyDescent="0.2">
      <c r="A82" s="870" t="s">
        <v>1184</v>
      </c>
      <c r="B82" s="870" t="s">
        <v>1185</v>
      </c>
      <c r="C82" s="870">
        <v>206141</v>
      </c>
      <c r="D82" s="867" t="s">
        <v>1086</v>
      </c>
    </row>
    <row r="83" spans="1:4" x14ac:dyDescent="0.2">
      <c r="A83" s="870" t="s">
        <v>1186</v>
      </c>
      <c r="B83" s="870" t="s">
        <v>1187</v>
      </c>
      <c r="C83" s="870" t="s">
        <v>1188</v>
      </c>
      <c r="D83" s="867" t="s">
        <v>1074</v>
      </c>
    </row>
    <row r="84" spans="1:4" x14ac:dyDescent="0.2">
      <c r="A84" s="870" t="s">
        <v>1189</v>
      </c>
      <c r="B84" s="870" t="s">
        <v>1190</v>
      </c>
      <c r="C84" s="870">
        <v>258404</v>
      </c>
      <c r="D84" s="867" t="s">
        <v>1074</v>
      </c>
    </row>
    <row r="85" spans="1:4" x14ac:dyDescent="0.2">
      <c r="A85" s="870" t="s">
        <v>315</v>
      </c>
      <c r="B85" s="870" t="s">
        <v>849</v>
      </c>
      <c r="C85" s="870">
        <v>2473</v>
      </c>
      <c r="D85" s="867" t="s">
        <v>1075</v>
      </c>
    </row>
    <row r="86" spans="1:4" x14ac:dyDescent="0.2">
      <c r="A86" s="870" t="s">
        <v>1191</v>
      </c>
      <c r="B86" s="870" t="s">
        <v>1192</v>
      </c>
      <c r="C86" s="870">
        <v>258405</v>
      </c>
      <c r="D86" s="867" t="s">
        <v>1074</v>
      </c>
    </row>
    <row r="87" spans="1:4" x14ac:dyDescent="0.2">
      <c r="A87" s="870" t="s">
        <v>1193</v>
      </c>
      <c r="B87" s="870" t="s">
        <v>1194</v>
      </c>
      <c r="C87" s="870">
        <v>258406</v>
      </c>
      <c r="D87" s="867" t="s">
        <v>1074</v>
      </c>
    </row>
    <row r="88" spans="1:4" x14ac:dyDescent="0.2">
      <c r="A88" s="870" t="s">
        <v>44</v>
      </c>
      <c r="B88" s="870" t="s">
        <v>848</v>
      </c>
      <c r="C88" s="870">
        <v>2420</v>
      </c>
      <c r="D88" s="867" t="s">
        <v>1075</v>
      </c>
    </row>
    <row r="89" spans="1:4" x14ac:dyDescent="0.2">
      <c r="A89" s="870" t="s">
        <v>1195</v>
      </c>
      <c r="B89" s="870" t="s">
        <v>1196</v>
      </c>
      <c r="C89" s="870">
        <v>206160</v>
      </c>
      <c r="D89" s="867" t="s">
        <v>1086</v>
      </c>
    </row>
    <row r="90" spans="1:4" x14ac:dyDescent="0.2">
      <c r="A90" s="870" t="s">
        <v>45</v>
      </c>
      <c r="B90" s="870" t="s">
        <v>851</v>
      </c>
      <c r="C90" s="870">
        <v>2003</v>
      </c>
      <c r="D90" s="867" t="s">
        <v>1075</v>
      </c>
    </row>
    <row r="91" spans="1:4" x14ac:dyDescent="0.2">
      <c r="A91" s="870" t="s">
        <v>1197</v>
      </c>
      <c r="B91" s="870" t="s">
        <v>1198</v>
      </c>
      <c r="C91" s="870" t="s">
        <v>1199</v>
      </c>
      <c r="D91" s="867" t="s">
        <v>1074</v>
      </c>
    </row>
    <row r="92" spans="1:4" x14ac:dyDescent="0.2">
      <c r="A92" s="871" t="s">
        <v>1200</v>
      </c>
      <c r="B92" s="870"/>
      <c r="C92" s="871" t="s">
        <v>1201</v>
      </c>
      <c r="D92" s="867" t="s">
        <v>1074</v>
      </c>
    </row>
    <row r="93" spans="1:4" x14ac:dyDescent="0.2">
      <c r="A93" s="870" t="s">
        <v>1202</v>
      </c>
      <c r="B93" s="870" t="s">
        <v>1203</v>
      </c>
      <c r="C93" s="870" t="s">
        <v>1204</v>
      </c>
      <c r="D93" s="867" t="s">
        <v>1074</v>
      </c>
    </row>
    <row r="94" spans="1:4" x14ac:dyDescent="0.2">
      <c r="A94" s="870" t="s">
        <v>1205</v>
      </c>
      <c r="B94" s="870" t="s">
        <v>1206</v>
      </c>
      <c r="C94" s="870">
        <v>206146</v>
      </c>
      <c r="D94" s="867" t="s">
        <v>1086</v>
      </c>
    </row>
    <row r="95" spans="1:4" x14ac:dyDescent="0.2">
      <c r="A95" s="871" t="s">
        <v>1207</v>
      </c>
      <c r="B95" s="870"/>
      <c r="C95" s="871" t="s">
        <v>1208</v>
      </c>
      <c r="D95" s="867" t="s">
        <v>1074</v>
      </c>
    </row>
    <row r="96" spans="1:4" x14ac:dyDescent="0.2">
      <c r="A96" s="870" t="s">
        <v>1209</v>
      </c>
      <c r="B96" s="870" t="s">
        <v>1210</v>
      </c>
      <c r="C96" s="870" t="s">
        <v>1211</v>
      </c>
      <c r="D96" s="867" t="s">
        <v>1074</v>
      </c>
    </row>
    <row r="97" spans="1:4" x14ac:dyDescent="0.2">
      <c r="A97" s="870" t="s">
        <v>316</v>
      </c>
      <c r="B97" s="870" t="s">
        <v>856</v>
      </c>
      <c r="C97" s="870">
        <v>2462</v>
      </c>
      <c r="D97" s="867" t="s">
        <v>1075</v>
      </c>
    </row>
    <row r="98" spans="1:4" x14ac:dyDescent="0.2">
      <c r="A98" s="870" t="s">
        <v>52</v>
      </c>
      <c r="B98" s="870" t="s">
        <v>858</v>
      </c>
      <c r="C98" s="870">
        <v>2505</v>
      </c>
      <c r="D98" s="867" t="s">
        <v>1075</v>
      </c>
    </row>
    <row r="99" spans="1:4" x14ac:dyDescent="0.2">
      <c r="A99" s="870" t="s">
        <v>53</v>
      </c>
      <c r="B99" s="870" t="s">
        <v>859</v>
      </c>
      <c r="C99" s="870">
        <v>2000</v>
      </c>
      <c r="D99" s="867" t="s">
        <v>1075</v>
      </c>
    </row>
    <row r="100" spans="1:4" x14ac:dyDescent="0.2">
      <c r="A100" s="870" t="s">
        <v>1212</v>
      </c>
      <c r="B100" s="870" t="s">
        <v>1213</v>
      </c>
      <c r="C100" s="870" t="s">
        <v>1214</v>
      </c>
      <c r="D100" s="867" t="s">
        <v>1074</v>
      </c>
    </row>
    <row r="101" spans="1:4" x14ac:dyDescent="0.2">
      <c r="A101" s="870" t="s">
        <v>55</v>
      </c>
      <c r="B101" s="870" t="s">
        <v>861</v>
      </c>
      <c r="C101" s="870">
        <v>2001</v>
      </c>
      <c r="D101" s="867" t="s">
        <v>1075</v>
      </c>
    </row>
    <row r="102" spans="1:4" x14ac:dyDescent="0.2">
      <c r="A102" s="871" t="s">
        <v>1215</v>
      </c>
      <c r="B102" s="870"/>
      <c r="C102" s="871" t="s">
        <v>1216</v>
      </c>
      <c r="D102" s="867" t="s">
        <v>1074</v>
      </c>
    </row>
    <row r="103" spans="1:4" x14ac:dyDescent="0.2">
      <c r="A103" s="870" t="s">
        <v>56</v>
      </c>
      <c r="B103" s="870" t="s">
        <v>862</v>
      </c>
      <c r="C103" s="870">
        <v>2429</v>
      </c>
      <c r="D103" s="867" t="s">
        <v>1075</v>
      </c>
    </row>
    <row r="104" spans="1:4" x14ac:dyDescent="0.2">
      <c r="A104" s="870" t="s">
        <v>1217</v>
      </c>
      <c r="B104" s="870" t="s">
        <v>1218</v>
      </c>
      <c r="C104" s="870">
        <v>113044</v>
      </c>
      <c r="D104" s="867" t="s">
        <v>1086</v>
      </c>
    </row>
    <row r="105" spans="1:4" x14ac:dyDescent="0.2">
      <c r="A105" s="870" t="s">
        <v>1219</v>
      </c>
      <c r="B105" s="870" t="s">
        <v>1220</v>
      </c>
      <c r="C105" s="870" t="s">
        <v>1221</v>
      </c>
      <c r="D105" s="867" t="s">
        <v>1074</v>
      </c>
    </row>
    <row r="106" spans="1:4" x14ac:dyDescent="0.2">
      <c r="A106" s="870" t="s">
        <v>57</v>
      </c>
      <c r="B106" s="870" t="s">
        <v>863</v>
      </c>
      <c r="C106" s="870">
        <v>2444</v>
      </c>
      <c r="D106" s="867" t="s">
        <v>1075</v>
      </c>
    </row>
    <row r="107" spans="1:4" x14ac:dyDescent="0.2">
      <c r="A107" s="870" t="s">
        <v>1222</v>
      </c>
      <c r="B107" s="870" t="s">
        <v>1223</v>
      </c>
      <c r="C107" s="870" t="s">
        <v>1224</v>
      </c>
      <c r="D107" s="872" t="s">
        <v>1086</v>
      </c>
    </row>
    <row r="108" spans="1:4" x14ac:dyDescent="0.2">
      <c r="A108" s="870" t="s">
        <v>1225</v>
      </c>
      <c r="B108" s="870" t="s">
        <v>1226</v>
      </c>
      <c r="C108" s="870" t="s">
        <v>1227</v>
      </c>
      <c r="D108" s="872" t="s">
        <v>1074</v>
      </c>
    </row>
    <row r="109" spans="1:4" x14ac:dyDescent="0.2">
      <c r="A109" s="870" t="s">
        <v>1228</v>
      </c>
      <c r="B109" s="870" t="s">
        <v>1229</v>
      </c>
      <c r="C109" s="870" t="s">
        <v>1230</v>
      </c>
      <c r="D109" s="872" t="s">
        <v>1074</v>
      </c>
    </row>
    <row r="110" spans="1:4" x14ac:dyDescent="0.2">
      <c r="A110" s="885" t="s">
        <v>1231</v>
      </c>
      <c r="B110" s="886"/>
      <c r="C110" s="886" t="s">
        <v>1232</v>
      </c>
      <c r="D110" s="872" t="s">
        <v>1074</v>
      </c>
    </row>
    <row r="111" spans="1:4" x14ac:dyDescent="0.2">
      <c r="A111" s="870" t="s">
        <v>60</v>
      </c>
      <c r="B111" s="870" t="s">
        <v>866</v>
      </c>
      <c r="C111" s="870">
        <v>2430</v>
      </c>
      <c r="D111" s="872" t="s">
        <v>1075</v>
      </c>
    </row>
    <row r="112" spans="1:4" x14ac:dyDescent="0.2">
      <c r="A112" s="870" t="s">
        <v>106</v>
      </c>
      <c r="B112" s="870" t="s">
        <v>868</v>
      </c>
      <c r="C112" s="870">
        <v>3543</v>
      </c>
      <c r="D112" s="872" t="s">
        <v>1075</v>
      </c>
    </row>
    <row r="113" spans="1:4" x14ac:dyDescent="0.2">
      <c r="A113" s="870" t="s">
        <v>1233</v>
      </c>
      <c r="B113" s="870" t="s">
        <v>1234</v>
      </c>
      <c r="C113" s="870">
        <v>206152</v>
      </c>
      <c r="D113" s="867" t="s">
        <v>1086</v>
      </c>
    </row>
    <row r="114" spans="1:4" x14ac:dyDescent="0.2">
      <c r="A114" s="870" t="s">
        <v>317</v>
      </c>
      <c r="B114" s="870" t="s">
        <v>869</v>
      </c>
      <c r="C114" s="870">
        <v>3158</v>
      </c>
      <c r="D114" s="867" t="s">
        <v>1075</v>
      </c>
    </row>
    <row r="115" spans="1:4" x14ac:dyDescent="0.2">
      <c r="A115" s="870" t="s">
        <v>1235</v>
      </c>
      <c r="B115" s="870" t="s">
        <v>1236</v>
      </c>
      <c r="C115" s="870">
        <v>206153</v>
      </c>
      <c r="D115" s="867" t="s">
        <v>1086</v>
      </c>
    </row>
    <row r="116" spans="1:4" x14ac:dyDescent="0.2">
      <c r="A116" s="870" t="s">
        <v>318</v>
      </c>
      <c r="B116" s="870" t="s">
        <v>871</v>
      </c>
      <c r="C116" s="870">
        <v>3526</v>
      </c>
      <c r="D116" s="867" t="s">
        <v>1075</v>
      </c>
    </row>
    <row r="117" spans="1:4" ht="13.5" customHeight="1" x14ac:dyDescent="0.2">
      <c r="A117" s="887" t="s">
        <v>1237</v>
      </c>
      <c r="B117" s="870" t="s">
        <v>1238</v>
      </c>
      <c r="C117" s="870">
        <v>206154</v>
      </c>
      <c r="D117" s="867" t="s">
        <v>1086</v>
      </c>
    </row>
    <row r="118" spans="1:4" x14ac:dyDescent="0.2">
      <c r="A118" s="870" t="s">
        <v>322</v>
      </c>
      <c r="B118" s="870" t="s">
        <v>875</v>
      </c>
      <c r="C118" s="870">
        <v>3528</v>
      </c>
      <c r="D118" s="867" t="s">
        <v>1075</v>
      </c>
    </row>
    <row r="119" spans="1:4" x14ac:dyDescent="0.2">
      <c r="A119" s="871" t="s">
        <v>1239</v>
      </c>
      <c r="B119" s="870"/>
      <c r="C119" s="871" t="s">
        <v>1240</v>
      </c>
      <c r="D119" s="867" t="s">
        <v>1086</v>
      </c>
    </row>
    <row r="120" spans="1:4" x14ac:dyDescent="0.2">
      <c r="A120" s="870" t="s">
        <v>309</v>
      </c>
      <c r="B120" s="870" t="s">
        <v>806</v>
      </c>
      <c r="C120" s="870">
        <v>1010</v>
      </c>
      <c r="D120" s="867" t="s">
        <v>1078</v>
      </c>
    </row>
    <row r="121" spans="1:4" x14ac:dyDescent="0.2">
      <c r="A121" s="870" t="s">
        <v>1241</v>
      </c>
      <c r="B121" s="870" t="s">
        <v>1242</v>
      </c>
      <c r="C121" s="870" t="s">
        <v>1243</v>
      </c>
      <c r="D121" s="867" t="s">
        <v>1074</v>
      </c>
    </row>
    <row r="122" spans="1:4" x14ac:dyDescent="0.2">
      <c r="A122" s="870" t="s">
        <v>1244</v>
      </c>
      <c r="B122" s="870" t="s">
        <v>1245</v>
      </c>
      <c r="C122" s="870" t="s">
        <v>1246</v>
      </c>
      <c r="D122" s="867" t="s">
        <v>1074</v>
      </c>
    </row>
    <row r="123" spans="1:4" x14ac:dyDescent="0.2">
      <c r="A123" s="870" t="s">
        <v>1247</v>
      </c>
      <c r="B123" s="870" t="s">
        <v>1245</v>
      </c>
      <c r="C123" s="870">
        <v>206103</v>
      </c>
      <c r="D123" s="867" t="s">
        <v>1074</v>
      </c>
    </row>
    <row r="124" spans="1:4" x14ac:dyDescent="0.2">
      <c r="A124" s="870" t="s">
        <v>1248</v>
      </c>
      <c r="B124" s="870" t="s">
        <v>1249</v>
      </c>
      <c r="C124" s="870" t="s">
        <v>1250</v>
      </c>
      <c r="D124" s="867" t="s">
        <v>1074</v>
      </c>
    </row>
    <row r="125" spans="1:4" x14ac:dyDescent="0.2">
      <c r="A125" s="870" t="s">
        <v>1251</v>
      </c>
      <c r="B125" s="870" t="s">
        <v>1252</v>
      </c>
      <c r="C125" s="870" t="s">
        <v>1253</v>
      </c>
      <c r="D125" s="867" t="s">
        <v>1074</v>
      </c>
    </row>
    <row r="126" spans="1:4" x14ac:dyDescent="0.2">
      <c r="A126" s="870" t="s">
        <v>1254</v>
      </c>
      <c r="B126" s="870" t="s">
        <v>1255</v>
      </c>
      <c r="C126" s="870">
        <v>258420</v>
      </c>
      <c r="D126" s="867" t="s">
        <v>1074</v>
      </c>
    </row>
    <row r="127" spans="1:4" x14ac:dyDescent="0.2">
      <c r="A127" s="870" t="s">
        <v>1256</v>
      </c>
      <c r="B127" s="870" t="s">
        <v>1257</v>
      </c>
      <c r="C127" s="870">
        <v>258424</v>
      </c>
      <c r="D127" s="867" t="s">
        <v>1074</v>
      </c>
    </row>
    <row r="128" spans="1:4" x14ac:dyDescent="0.2">
      <c r="A128" s="870" t="s">
        <v>69</v>
      </c>
      <c r="B128" s="870" t="s">
        <v>878</v>
      </c>
      <c r="C128" s="870">
        <v>3546</v>
      </c>
      <c r="D128" s="867" t="s">
        <v>1075</v>
      </c>
    </row>
    <row r="129" spans="1:4" x14ac:dyDescent="0.2">
      <c r="A129" s="870" t="s">
        <v>310</v>
      </c>
      <c r="B129" s="870" t="s">
        <v>807</v>
      </c>
      <c r="C129" s="870">
        <v>1009</v>
      </c>
      <c r="D129" s="867" t="s">
        <v>1078</v>
      </c>
    </row>
    <row r="130" spans="1:4" x14ac:dyDescent="0.2">
      <c r="A130" s="870" t="s">
        <v>325</v>
      </c>
      <c r="B130" s="870" t="s">
        <v>879</v>
      </c>
      <c r="C130" s="870">
        <v>3530</v>
      </c>
      <c r="D130" s="867" t="s">
        <v>1075</v>
      </c>
    </row>
    <row r="131" spans="1:4" x14ac:dyDescent="0.2">
      <c r="A131" s="870" t="s">
        <v>1258</v>
      </c>
      <c r="B131" s="870" t="s">
        <v>1259</v>
      </c>
      <c r="C131" s="871" t="s">
        <v>1260</v>
      </c>
      <c r="D131" s="867" t="s">
        <v>1086</v>
      </c>
    </row>
    <row r="132" spans="1:4" x14ac:dyDescent="0.2">
      <c r="A132" s="870" t="s">
        <v>311</v>
      </c>
      <c r="B132" s="870" t="s">
        <v>808</v>
      </c>
      <c r="C132" s="870">
        <v>1015</v>
      </c>
      <c r="D132" s="867" t="s">
        <v>1078</v>
      </c>
    </row>
    <row r="133" spans="1:4" x14ac:dyDescent="0.2">
      <c r="A133" s="887" t="s">
        <v>1261</v>
      </c>
      <c r="B133" s="870"/>
      <c r="C133" s="884" t="s">
        <v>1262</v>
      </c>
      <c r="D133" s="867" t="s">
        <v>1074</v>
      </c>
    </row>
    <row r="134" spans="1:4" ht="15" x14ac:dyDescent="0.2">
      <c r="A134" s="888" t="s">
        <v>1263</v>
      </c>
      <c r="B134" s="889" t="s">
        <v>1264</v>
      </c>
      <c r="C134" s="889" t="s">
        <v>1264</v>
      </c>
      <c r="D134" s="867" t="s">
        <v>1074</v>
      </c>
    </row>
    <row r="135" spans="1:4" x14ac:dyDescent="0.2">
      <c r="A135" s="870" t="s">
        <v>1265</v>
      </c>
      <c r="B135" s="870" t="s">
        <v>1266</v>
      </c>
      <c r="C135" s="870">
        <v>509204</v>
      </c>
      <c r="D135" s="867" t="s">
        <v>1074</v>
      </c>
    </row>
    <row r="136" spans="1:4" x14ac:dyDescent="0.2">
      <c r="A136" s="870" t="s">
        <v>1265</v>
      </c>
      <c r="B136" s="870" t="s">
        <v>1266</v>
      </c>
      <c r="C136" s="870">
        <v>509204</v>
      </c>
      <c r="D136" s="867" t="s">
        <v>1074</v>
      </c>
    </row>
    <row r="137" spans="1:4" x14ac:dyDescent="0.2">
      <c r="A137" s="870" t="s">
        <v>618</v>
      </c>
      <c r="B137" s="870"/>
      <c r="C137" s="870">
        <v>2007</v>
      </c>
      <c r="D137" s="867" t="s">
        <v>1075</v>
      </c>
    </row>
    <row r="138" spans="1:4" x14ac:dyDescent="0.2">
      <c r="A138" s="890" t="s">
        <v>1267</v>
      </c>
      <c r="C138" s="891" t="s">
        <v>1268</v>
      </c>
    </row>
    <row r="139" spans="1:4" x14ac:dyDescent="0.2">
      <c r="A139" s="890" t="s">
        <v>1269</v>
      </c>
      <c r="C139" s="891" t="s">
        <v>1270</v>
      </c>
    </row>
    <row r="140" spans="1:4" x14ac:dyDescent="0.2">
      <c r="A140" s="890" t="s">
        <v>1271</v>
      </c>
      <c r="C140" s="891" t="s">
        <v>144</v>
      </c>
    </row>
  </sheetData>
  <sheetProtection password="EF5C"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P186"/>
  <sheetViews>
    <sheetView workbookViewId="0">
      <pane xSplit="1" ySplit="2" topLeftCell="B169" activePane="bottomRight" state="frozen"/>
      <selection sqref="A1:XFD1048576"/>
      <selection pane="topRight" sqref="A1:XFD1048576"/>
      <selection pane="bottomLeft" sqref="A1:XFD1048576"/>
      <selection pane="bottomRight" sqref="A1:XFD1048576"/>
    </sheetView>
  </sheetViews>
  <sheetFormatPr defaultRowHeight="15" x14ac:dyDescent="0.25"/>
  <cols>
    <col min="1" max="1" width="36.140625" style="930" customWidth="1"/>
    <col min="2" max="2" width="9.140625" style="930"/>
    <col min="3" max="3" width="10.5703125" style="930" customWidth="1"/>
    <col min="4" max="5" width="9.140625" style="930"/>
    <col min="6" max="6" width="11.5703125" style="930" bestFit="1" customWidth="1"/>
    <col min="7" max="7" width="8.140625" style="930" customWidth="1"/>
    <col min="8" max="8" width="15.140625" style="930" customWidth="1"/>
    <col min="9" max="9" width="12.42578125" style="930" customWidth="1"/>
    <col min="10" max="10" width="13" style="930" customWidth="1"/>
    <col min="11" max="15" width="9.140625" style="930"/>
    <col min="16" max="16" width="11.28515625" style="930" customWidth="1"/>
    <col min="17" max="16384" width="9.140625" style="930"/>
  </cols>
  <sheetData>
    <row r="2" spans="1:16" s="923" customFormat="1" ht="38.25" x14ac:dyDescent="0.25">
      <c r="A2" s="921" t="s">
        <v>1297</v>
      </c>
      <c r="B2" s="921" t="s">
        <v>1298</v>
      </c>
      <c r="C2" s="921" t="s">
        <v>1299</v>
      </c>
      <c r="D2" s="921" t="s">
        <v>1300</v>
      </c>
      <c r="E2" s="921" t="s">
        <v>1301</v>
      </c>
      <c r="F2" s="922" t="s">
        <v>1302</v>
      </c>
      <c r="H2" s="924" t="s">
        <v>1268</v>
      </c>
      <c r="I2" s="924" t="s">
        <v>1303</v>
      </c>
      <c r="J2" s="924" t="s">
        <v>1304</v>
      </c>
      <c r="K2" s="924" t="s">
        <v>1305</v>
      </c>
      <c r="M2" s="924" t="s">
        <v>1283</v>
      </c>
      <c r="O2" s="923" t="s">
        <v>784</v>
      </c>
      <c r="P2" s="924"/>
    </row>
    <row r="3" spans="1:16" x14ac:dyDescent="0.25">
      <c r="A3" s="925"/>
      <c r="B3" s="926"/>
      <c r="C3" s="926"/>
      <c r="D3" s="927"/>
      <c r="E3" s="928"/>
      <c r="F3" s="929"/>
    </row>
    <row r="4" spans="1:16" x14ac:dyDescent="0.25">
      <c r="A4" s="925" t="s">
        <v>1306</v>
      </c>
      <c r="B4" s="926"/>
      <c r="C4" s="926"/>
      <c r="D4" s="927"/>
      <c r="E4" s="927"/>
      <c r="F4" s="929"/>
    </row>
    <row r="5" spans="1:16" x14ac:dyDescent="0.25">
      <c r="A5" s="925"/>
      <c r="B5" s="926"/>
      <c r="C5" s="926"/>
      <c r="D5" s="927"/>
      <c r="E5" s="927"/>
      <c r="F5" s="929"/>
    </row>
    <row r="6" spans="1:16" x14ac:dyDescent="0.25">
      <c r="A6" s="931" t="s">
        <v>1307</v>
      </c>
      <c r="B6" s="932"/>
      <c r="C6" s="932"/>
      <c r="D6" s="933"/>
      <c r="E6" s="934"/>
      <c r="F6" s="935"/>
      <c r="G6" s="936">
        <v>0</v>
      </c>
    </row>
    <row r="7" spans="1:16" x14ac:dyDescent="0.25">
      <c r="A7" s="931"/>
      <c r="B7" s="932"/>
      <c r="C7" s="932"/>
      <c r="D7" s="937"/>
      <c r="E7" s="934"/>
      <c r="F7" s="935"/>
      <c r="G7" s="936"/>
    </row>
    <row r="8" spans="1:16" x14ac:dyDescent="0.25">
      <c r="A8" s="925" t="s">
        <v>304</v>
      </c>
      <c r="B8" s="926" t="s">
        <v>800</v>
      </c>
      <c r="C8" s="926">
        <v>1014</v>
      </c>
      <c r="D8" s="938">
        <v>1520</v>
      </c>
      <c r="E8" s="939">
        <v>45600</v>
      </c>
      <c r="F8" s="930">
        <v>30330</v>
      </c>
      <c r="G8" s="930" t="s">
        <v>1078</v>
      </c>
      <c r="I8" s="940">
        <v>30330</v>
      </c>
      <c r="M8" s="930">
        <v>38</v>
      </c>
      <c r="O8" s="930">
        <v>1</v>
      </c>
    </row>
    <row r="9" spans="1:16" x14ac:dyDescent="0.25">
      <c r="A9" s="925" t="s">
        <v>305</v>
      </c>
      <c r="B9" s="926" t="s">
        <v>802</v>
      </c>
      <c r="C9" s="926">
        <v>1017</v>
      </c>
      <c r="D9" s="938">
        <v>1520</v>
      </c>
      <c r="E9" s="939">
        <v>45600</v>
      </c>
      <c r="F9" s="930">
        <v>13356</v>
      </c>
      <c r="G9" s="930" t="s">
        <v>1078</v>
      </c>
      <c r="I9" s="940">
        <v>13356</v>
      </c>
      <c r="M9" s="930">
        <v>38</v>
      </c>
      <c r="O9" s="930">
        <v>1</v>
      </c>
    </row>
    <row r="10" spans="1:16" x14ac:dyDescent="0.25">
      <c r="A10" s="925" t="s">
        <v>306</v>
      </c>
      <c r="B10" s="926" t="s">
        <v>803</v>
      </c>
      <c r="C10" s="926">
        <v>1006</v>
      </c>
      <c r="D10" s="938">
        <v>1976</v>
      </c>
      <c r="E10" s="939">
        <v>59280</v>
      </c>
      <c r="F10" s="930">
        <v>38994</v>
      </c>
      <c r="G10" s="930" t="s">
        <v>1078</v>
      </c>
      <c r="I10" s="940">
        <v>38994</v>
      </c>
      <c r="M10" s="930">
        <v>38</v>
      </c>
      <c r="O10" s="930">
        <v>1</v>
      </c>
    </row>
    <row r="11" spans="1:16" x14ac:dyDescent="0.25">
      <c r="A11" s="925" t="s">
        <v>307</v>
      </c>
      <c r="B11" s="926" t="s">
        <v>804</v>
      </c>
      <c r="C11" s="926">
        <v>1008</v>
      </c>
      <c r="D11" s="938">
        <v>1520</v>
      </c>
      <c r="E11" s="939">
        <v>45600</v>
      </c>
      <c r="F11" s="930">
        <v>45600</v>
      </c>
      <c r="G11" s="930" t="s">
        <v>1078</v>
      </c>
      <c r="I11" s="940">
        <v>45600</v>
      </c>
      <c r="M11" s="930">
        <v>38</v>
      </c>
      <c r="O11" s="930">
        <v>1</v>
      </c>
    </row>
    <row r="12" spans="1:16" x14ac:dyDescent="0.25">
      <c r="A12" s="925" t="s">
        <v>308</v>
      </c>
      <c r="B12" s="926" t="s">
        <v>805</v>
      </c>
      <c r="C12" s="926">
        <v>1005</v>
      </c>
      <c r="D12" s="938">
        <v>1976</v>
      </c>
      <c r="E12" s="939">
        <v>59280</v>
      </c>
      <c r="F12" s="930">
        <v>53820</v>
      </c>
      <c r="G12" s="930" t="s">
        <v>1078</v>
      </c>
      <c r="I12" s="940">
        <v>53820</v>
      </c>
      <c r="M12" s="930">
        <v>38</v>
      </c>
      <c r="O12" s="930">
        <v>1</v>
      </c>
    </row>
    <row r="13" spans="1:16" x14ac:dyDescent="0.25">
      <c r="A13" s="925" t="s">
        <v>309</v>
      </c>
      <c r="B13" s="926" t="s">
        <v>806</v>
      </c>
      <c r="C13" s="926">
        <v>1010</v>
      </c>
      <c r="D13" s="938">
        <v>1520</v>
      </c>
      <c r="E13" s="939">
        <v>45600</v>
      </c>
      <c r="F13" s="930">
        <v>38298</v>
      </c>
      <c r="G13" s="930" t="s">
        <v>1078</v>
      </c>
      <c r="I13" s="940">
        <v>38298</v>
      </c>
      <c r="M13" s="930">
        <v>38</v>
      </c>
      <c r="O13" s="930">
        <v>1</v>
      </c>
    </row>
    <row r="14" spans="1:16" x14ac:dyDescent="0.25">
      <c r="A14" s="925" t="s">
        <v>310</v>
      </c>
      <c r="B14" s="926" t="s">
        <v>807</v>
      </c>
      <c r="C14" s="926">
        <v>1009</v>
      </c>
      <c r="D14" s="938">
        <v>1520</v>
      </c>
      <c r="E14" s="939">
        <v>45600</v>
      </c>
      <c r="F14" s="930">
        <v>45600</v>
      </c>
      <c r="G14" s="930" t="s">
        <v>1078</v>
      </c>
      <c r="I14" s="940">
        <v>45600</v>
      </c>
      <c r="M14" s="930">
        <v>38</v>
      </c>
      <c r="O14" s="930">
        <v>1</v>
      </c>
    </row>
    <row r="15" spans="1:16" x14ac:dyDescent="0.25">
      <c r="A15" s="925" t="s">
        <v>311</v>
      </c>
      <c r="B15" s="926" t="s">
        <v>808</v>
      </c>
      <c r="C15" s="926">
        <v>1015</v>
      </c>
      <c r="D15" s="938">
        <v>1520</v>
      </c>
      <c r="E15" s="939">
        <v>45600</v>
      </c>
      <c r="F15" s="930">
        <v>38148</v>
      </c>
      <c r="G15" s="930" t="s">
        <v>1078</v>
      </c>
      <c r="I15" s="940">
        <v>38148</v>
      </c>
      <c r="M15" s="930">
        <v>38</v>
      </c>
      <c r="O15" s="930">
        <v>1</v>
      </c>
    </row>
    <row r="16" spans="1:16" x14ac:dyDescent="0.25">
      <c r="D16" s="941">
        <v>13072</v>
      </c>
      <c r="E16" s="941">
        <v>392160</v>
      </c>
      <c r="F16" s="942">
        <v>304146</v>
      </c>
      <c r="I16" s="942">
        <v>304146</v>
      </c>
      <c r="O16" s="942">
        <v>8</v>
      </c>
    </row>
    <row r="18" spans="1:13" ht="15.75" x14ac:dyDescent="0.25">
      <c r="A18" s="943" t="s">
        <v>3</v>
      </c>
      <c r="B18" s="930" t="s">
        <v>809</v>
      </c>
      <c r="C18" s="944">
        <v>2400</v>
      </c>
      <c r="D18" s="938">
        <v>0</v>
      </c>
      <c r="E18" s="939">
        <v>0</v>
      </c>
      <c r="F18" s="930">
        <v>0</v>
      </c>
      <c r="G18" s="930" t="s">
        <v>1075</v>
      </c>
      <c r="H18" s="930">
        <v>0</v>
      </c>
      <c r="M18" s="930">
        <v>38</v>
      </c>
    </row>
    <row r="19" spans="1:13" ht="15.75" x14ac:dyDescent="0.25">
      <c r="A19" s="943" t="s">
        <v>4</v>
      </c>
      <c r="B19" s="930" t="s">
        <v>810</v>
      </c>
      <c r="C19" s="944">
        <v>2443</v>
      </c>
      <c r="D19" s="938">
        <v>988</v>
      </c>
      <c r="E19" s="939">
        <v>29640</v>
      </c>
      <c r="F19" s="930">
        <v>26910</v>
      </c>
      <c r="G19" s="930" t="s">
        <v>1075</v>
      </c>
      <c r="H19" s="930">
        <v>26910</v>
      </c>
      <c r="M19" s="930">
        <v>38</v>
      </c>
    </row>
    <row r="20" spans="1:13" ht="15.75" x14ac:dyDescent="0.25">
      <c r="A20" s="943" t="s">
        <v>312</v>
      </c>
      <c r="B20" s="930" t="s">
        <v>811</v>
      </c>
      <c r="C20" s="944">
        <v>2442</v>
      </c>
      <c r="D20" s="938">
        <v>0</v>
      </c>
      <c r="E20" s="939">
        <v>0</v>
      </c>
      <c r="F20" s="930">
        <v>0</v>
      </c>
      <c r="G20" s="930" t="s">
        <v>1075</v>
      </c>
      <c r="H20" s="930">
        <v>0</v>
      </c>
      <c r="M20" s="930">
        <v>38</v>
      </c>
    </row>
    <row r="21" spans="1:13" ht="15.75" x14ac:dyDescent="0.25">
      <c r="A21" s="943" t="s">
        <v>6</v>
      </c>
      <c r="B21" s="930" t="s">
        <v>812</v>
      </c>
      <c r="C21" s="944">
        <v>2629</v>
      </c>
      <c r="D21" s="938">
        <v>1482</v>
      </c>
      <c r="E21" s="939">
        <v>44460</v>
      </c>
      <c r="F21" s="930">
        <v>41340</v>
      </c>
      <c r="G21" s="930" t="s">
        <v>1075</v>
      </c>
      <c r="H21" s="930">
        <v>41340</v>
      </c>
      <c r="M21" s="930">
        <v>38</v>
      </c>
    </row>
    <row r="22" spans="1:13" ht="15.75" x14ac:dyDescent="0.25">
      <c r="A22" s="943" t="s">
        <v>7</v>
      </c>
      <c r="B22" s="930" t="s">
        <v>813</v>
      </c>
      <c r="C22" s="944">
        <v>2509</v>
      </c>
      <c r="D22" s="938">
        <v>0</v>
      </c>
      <c r="E22" s="939">
        <v>0</v>
      </c>
      <c r="F22" s="930">
        <v>0</v>
      </c>
      <c r="G22" s="930" t="s">
        <v>1075</v>
      </c>
      <c r="H22" s="930">
        <v>0</v>
      </c>
      <c r="M22" s="930">
        <v>38</v>
      </c>
    </row>
    <row r="23" spans="1:13" ht="15.75" x14ac:dyDescent="0.25">
      <c r="A23" s="943" t="s">
        <v>8</v>
      </c>
      <c r="B23" s="930" t="s">
        <v>814</v>
      </c>
      <c r="C23" s="944">
        <v>2005</v>
      </c>
      <c r="D23" s="938">
        <v>0</v>
      </c>
      <c r="E23" s="939">
        <v>0</v>
      </c>
      <c r="F23" s="930">
        <v>0</v>
      </c>
      <c r="G23" s="930" t="s">
        <v>1075</v>
      </c>
      <c r="H23" s="930">
        <v>0</v>
      </c>
      <c r="M23" s="930">
        <v>38</v>
      </c>
    </row>
    <row r="24" spans="1:13" ht="15.75" x14ac:dyDescent="0.25">
      <c r="A24" s="943" t="s">
        <v>9</v>
      </c>
      <c r="B24" s="930" t="s">
        <v>815</v>
      </c>
      <c r="C24" s="944">
        <v>2464</v>
      </c>
      <c r="D24" s="938">
        <v>988</v>
      </c>
      <c r="E24" s="939">
        <v>29640</v>
      </c>
      <c r="F24" s="930">
        <v>24552</v>
      </c>
      <c r="G24" s="930" t="s">
        <v>1075</v>
      </c>
      <c r="H24" s="930">
        <v>24552</v>
      </c>
      <c r="M24" s="930">
        <v>38</v>
      </c>
    </row>
    <row r="25" spans="1:13" ht="15.75" x14ac:dyDescent="0.25">
      <c r="A25" s="943" t="s">
        <v>10</v>
      </c>
      <c r="B25" s="930" t="s">
        <v>816</v>
      </c>
      <c r="C25" s="944">
        <v>2004</v>
      </c>
      <c r="D25" s="938">
        <v>1976</v>
      </c>
      <c r="E25" s="939">
        <v>59280</v>
      </c>
      <c r="F25" s="930">
        <v>29070</v>
      </c>
      <c r="G25" s="930" t="s">
        <v>1075</v>
      </c>
      <c r="H25" s="930">
        <v>29070</v>
      </c>
      <c r="M25" s="930">
        <v>38</v>
      </c>
    </row>
    <row r="26" spans="1:13" ht="15.75" x14ac:dyDescent="0.25">
      <c r="A26" s="943" t="s">
        <v>11</v>
      </c>
      <c r="B26" s="930" t="s">
        <v>817</v>
      </c>
      <c r="C26" s="944">
        <v>2405</v>
      </c>
      <c r="D26" s="938">
        <v>988</v>
      </c>
      <c r="E26" s="939">
        <v>29640</v>
      </c>
      <c r="F26" s="930">
        <v>23940</v>
      </c>
      <c r="G26" s="930" t="s">
        <v>1075</v>
      </c>
      <c r="H26" s="930">
        <v>23940</v>
      </c>
      <c r="M26" s="930">
        <v>38</v>
      </c>
    </row>
    <row r="27" spans="1:13" ht="15.75" x14ac:dyDescent="0.25">
      <c r="A27" s="943" t="s">
        <v>313</v>
      </c>
      <c r="B27" s="930" t="s">
        <v>818</v>
      </c>
      <c r="C27" s="944">
        <v>3525</v>
      </c>
      <c r="D27" s="938">
        <v>1482</v>
      </c>
      <c r="E27" s="939">
        <v>44460</v>
      </c>
      <c r="F27" s="930">
        <v>22974</v>
      </c>
      <c r="G27" s="930" t="s">
        <v>1075</v>
      </c>
      <c r="H27" s="930">
        <v>22974</v>
      </c>
      <c r="M27" s="930">
        <v>38</v>
      </c>
    </row>
    <row r="28" spans="1:13" ht="15.75" x14ac:dyDescent="0.25">
      <c r="A28" s="943" t="s">
        <v>12</v>
      </c>
      <c r="B28" s="930" t="s">
        <v>819</v>
      </c>
      <c r="C28" s="944">
        <v>5201</v>
      </c>
      <c r="D28" s="938">
        <v>988</v>
      </c>
      <c r="E28" s="939">
        <v>29640</v>
      </c>
      <c r="F28" s="930">
        <v>24834</v>
      </c>
      <c r="G28" s="930" t="s">
        <v>1075</v>
      </c>
      <c r="H28" s="930">
        <v>24834</v>
      </c>
      <c r="M28" s="930">
        <v>38</v>
      </c>
    </row>
    <row r="29" spans="1:13" ht="15.75" x14ac:dyDescent="0.25">
      <c r="A29" s="945" t="s">
        <v>1308</v>
      </c>
      <c r="C29" s="946">
        <v>2007</v>
      </c>
      <c r="D29" s="938">
        <v>1976</v>
      </c>
      <c r="E29" s="939">
        <v>59280</v>
      </c>
      <c r="F29" s="930">
        <v>23820</v>
      </c>
      <c r="G29" s="930" t="s">
        <v>1075</v>
      </c>
      <c r="H29" s="930">
        <v>23820</v>
      </c>
      <c r="M29" s="930">
        <v>38</v>
      </c>
    </row>
    <row r="30" spans="1:13" ht="15.75" x14ac:dyDescent="0.25">
      <c r="A30" s="943" t="s">
        <v>14</v>
      </c>
      <c r="B30" s="930" t="s">
        <v>821</v>
      </c>
      <c r="C30" s="944">
        <v>2433</v>
      </c>
      <c r="D30" s="938">
        <v>988</v>
      </c>
      <c r="E30" s="939">
        <v>29640</v>
      </c>
      <c r="F30" s="930">
        <v>27810</v>
      </c>
      <c r="G30" s="930" t="s">
        <v>1075</v>
      </c>
      <c r="H30" s="930">
        <v>27810</v>
      </c>
      <c r="M30" s="930">
        <v>38</v>
      </c>
    </row>
    <row r="31" spans="1:13" ht="15.75" x14ac:dyDescent="0.25">
      <c r="A31" s="943" t="s">
        <v>15</v>
      </c>
      <c r="B31" s="930" t="s">
        <v>822</v>
      </c>
      <c r="C31" s="944">
        <v>2432</v>
      </c>
      <c r="D31" s="938">
        <v>0</v>
      </c>
      <c r="E31" s="939">
        <v>0</v>
      </c>
      <c r="F31" s="930">
        <v>0</v>
      </c>
      <c r="G31" s="930" t="s">
        <v>1075</v>
      </c>
      <c r="H31" s="930">
        <v>0</v>
      </c>
      <c r="M31" s="930">
        <v>38</v>
      </c>
    </row>
    <row r="32" spans="1:13" ht="15.75" x14ac:dyDescent="0.25">
      <c r="A32" s="943" t="s">
        <v>16</v>
      </c>
      <c r="B32" s="930" t="s">
        <v>823</v>
      </c>
      <c r="C32" s="944">
        <v>2446</v>
      </c>
      <c r="D32" s="938">
        <v>988</v>
      </c>
      <c r="E32" s="939">
        <v>29640</v>
      </c>
      <c r="F32" s="930">
        <v>29640</v>
      </c>
      <c r="G32" s="930" t="s">
        <v>1075</v>
      </c>
      <c r="H32" s="930">
        <v>29640</v>
      </c>
      <c r="M32" s="930">
        <v>38</v>
      </c>
    </row>
    <row r="33" spans="1:13" ht="15.75" x14ac:dyDescent="0.25">
      <c r="A33" s="943" t="s">
        <v>17</v>
      </c>
      <c r="B33" s="930" t="s">
        <v>824</v>
      </c>
      <c r="C33" s="944">
        <v>2447</v>
      </c>
      <c r="D33" s="938">
        <v>0</v>
      </c>
      <c r="E33" s="939">
        <v>0</v>
      </c>
      <c r="F33" s="930">
        <v>0</v>
      </c>
      <c r="G33" s="930" t="s">
        <v>1075</v>
      </c>
      <c r="H33" s="930">
        <v>0</v>
      </c>
      <c r="M33" s="930">
        <v>38</v>
      </c>
    </row>
    <row r="34" spans="1:13" ht="15.75" x14ac:dyDescent="0.25">
      <c r="A34" s="943" t="s">
        <v>18</v>
      </c>
      <c r="B34" s="930" t="s">
        <v>825</v>
      </c>
      <c r="C34" s="944">
        <v>2512</v>
      </c>
      <c r="D34" s="938">
        <v>570</v>
      </c>
      <c r="E34" s="939">
        <v>17100</v>
      </c>
      <c r="F34" s="930">
        <v>13860</v>
      </c>
      <c r="G34" s="930" t="s">
        <v>1075</v>
      </c>
      <c r="H34" s="930">
        <v>13860</v>
      </c>
      <c r="M34" s="930">
        <v>38</v>
      </c>
    </row>
    <row r="35" spans="1:13" ht="15.75" x14ac:dyDescent="0.25">
      <c r="A35" s="943" t="s">
        <v>19</v>
      </c>
      <c r="B35" s="930" t="s">
        <v>826</v>
      </c>
      <c r="C35" s="944">
        <v>2456</v>
      </c>
      <c r="D35" s="938">
        <v>988</v>
      </c>
      <c r="E35" s="939">
        <v>29640</v>
      </c>
      <c r="F35" s="930">
        <v>26340</v>
      </c>
      <c r="G35" s="930" t="s">
        <v>1075</v>
      </c>
      <c r="H35" s="930">
        <v>26340</v>
      </c>
      <c r="M35" s="930">
        <v>38</v>
      </c>
    </row>
    <row r="36" spans="1:13" ht="15.75" x14ac:dyDescent="0.25">
      <c r="A36" s="943" t="s">
        <v>20</v>
      </c>
      <c r="B36" s="930" t="s">
        <v>827</v>
      </c>
      <c r="C36" s="944">
        <v>2449</v>
      </c>
      <c r="D36" s="938">
        <v>1482</v>
      </c>
      <c r="E36" s="939">
        <v>44460</v>
      </c>
      <c r="F36" s="930">
        <v>44280</v>
      </c>
      <c r="G36" s="930" t="s">
        <v>1075</v>
      </c>
      <c r="H36" s="930">
        <v>44280</v>
      </c>
      <c r="M36" s="930">
        <v>38</v>
      </c>
    </row>
    <row r="37" spans="1:13" ht="15.75" x14ac:dyDescent="0.25">
      <c r="A37" s="943" t="s">
        <v>21</v>
      </c>
      <c r="B37" s="930" t="s">
        <v>828</v>
      </c>
      <c r="C37" s="944">
        <v>2448</v>
      </c>
      <c r="D37" s="938">
        <v>0</v>
      </c>
      <c r="E37" s="939">
        <v>0</v>
      </c>
      <c r="F37" s="930">
        <v>0</v>
      </c>
      <c r="G37" s="930" t="s">
        <v>1075</v>
      </c>
      <c r="H37" s="930">
        <v>0</v>
      </c>
      <c r="M37" s="930">
        <v>38</v>
      </c>
    </row>
    <row r="38" spans="1:13" ht="15.75" x14ac:dyDescent="0.25">
      <c r="A38" s="943" t="s">
        <v>339</v>
      </c>
      <c r="B38" s="930" t="s">
        <v>829</v>
      </c>
      <c r="C38" s="944">
        <v>2467</v>
      </c>
      <c r="D38" s="938">
        <v>988</v>
      </c>
      <c r="E38" s="939">
        <v>29640</v>
      </c>
      <c r="F38" s="930">
        <v>27006</v>
      </c>
      <c r="G38" s="930" t="s">
        <v>1075</v>
      </c>
      <c r="H38" s="930">
        <v>27006</v>
      </c>
      <c r="M38" s="930">
        <v>38</v>
      </c>
    </row>
    <row r="39" spans="1:13" ht="15.75" x14ac:dyDescent="0.25">
      <c r="A39" s="943" t="s">
        <v>24</v>
      </c>
      <c r="B39" s="930" t="s">
        <v>831</v>
      </c>
      <c r="C39" s="944">
        <v>2455</v>
      </c>
      <c r="D39" s="938">
        <v>0</v>
      </c>
      <c r="E39" s="939">
        <v>0</v>
      </c>
      <c r="F39" s="930">
        <v>0</v>
      </c>
      <c r="G39" s="930" t="s">
        <v>1075</v>
      </c>
      <c r="H39" s="930">
        <v>0</v>
      </c>
      <c r="M39" s="930">
        <v>38</v>
      </c>
    </row>
    <row r="40" spans="1:13" ht="15.75" x14ac:dyDescent="0.25">
      <c r="A40" s="943" t="s">
        <v>25</v>
      </c>
      <c r="B40" s="930" t="s">
        <v>832</v>
      </c>
      <c r="C40" s="944">
        <v>5203</v>
      </c>
      <c r="D40" s="938">
        <v>0</v>
      </c>
      <c r="E40" s="939">
        <v>0</v>
      </c>
      <c r="F40" s="930">
        <v>0</v>
      </c>
      <c r="G40" s="930" t="s">
        <v>1075</v>
      </c>
      <c r="H40" s="930">
        <v>0</v>
      </c>
      <c r="M40" s="930">
        <v>38</v>
      </c>
    </row>
    <row r="41" spans="1:13" ht="15.75" x14ac:dyDescent="0.25">
      <c r="A41" s="943" t="s">
        <v>26</v>
      </c>
      <c r="B41" s="930" t="s">
        <v>833</v>
      </c>
      <c r="C41" s="944">
        <v>2451</v>
      </c>
      <c r="D41" s="938">
        <v>988</v>
      </c>
      <c r="E41" s="939">
        <v>29640</v>
      </c>
      <c r="F41" s="930">
        <v>29640</v>
      </c>
      <c r="G41" s="930" t="s">
        <v>1075</v>
      </c>
      <c r="H41" s="930">
        <v>29640</v>
      </c>
      <c r="M41" s="930">
        <v>38</v>
      </c>
    </row>
    <row r="42" spans="1:13" ht="15.75" x14ac:dyDescent="0.25">
      <c r="A42" s="943" t="s">
        <v>27</v>
      </c>
      <c r="B42" s="930" t="s">
        <v>834</v>
      </c>
      <c r="C42" s="944">
        <v>2409</v>
      </c>
      <c r="D42" s="938">
        <v>0</v>
      </c>
      <c r="E42" s="939">
        <v>0</v>
      </c>
      <c r="F42" s="930">
        <v>0</v>
      </c>
      <c r="G42" s="930" t="s">
        <v>1075</v>
      </c>
      <c r="H42" s="930">
        <v>0</v>
      </c>
      <c r="M42" s="930">
        <v>38</v>
      </c>
    </row>
    <row r="43" spans="1:13" ht="15.75" x14ac:dyDescent="0.25">
      <c r="A43" s="943" t="s">
        <v>29</v>
      </c>
      <c r="B43" s="930" t="s">
        <v>835</v>
      </c>
      <c r="C43" s="944">
        <v>2619</v>
      </c>
      <c r="D43" s="938">
        <v>1482</v>
      </c>
      <c r="E43" s="939">
        <v>44460</v>
      </c>
      <c r="F43" s="930">
        <v>19368</v>
      </c>
      <c r="G43" s="930" t="s">
        <v>1075</v>
      </c>
      <c r="H43" s="930">
        <v>19368</v>
      </c>
      <c r="M43" s="930">
        <v>38</v>
      </c>
    </row>
    <row r="44" spans="1:13" ht="15.75" x14ac:dyDescent="0.25">
      <c r="A44" s="943" t="s">
        <v>30</v>
      </c>
      <c r="B44" s="930" t="s">
        <v>836</v>
      </c>
      <c r="C44" s="944">
        <v>2518</v>
      </c>
      <c r="D44" s="938">
        <v>1482</v>
      </c>
      <c r="E44" s="939">
        <v>44460</v>
      </c>
      <c r="F44" s="930">
        <v>17190</v>
      </c>
      <c r="G44" s="930" t="s">
        <v>1075</v>
      </c>
      <c r="H44" s="930">
        <v>17190</v>
      </c>
      <c r="M44" s="930">
        <v>38</v>
      </c>
    </row>
    <row r="45" spans="1:13" ht="15.75" x14ac:dyDescent="0.25">
      <c r="A45" s="943" t="s">
        <v>31</v>
      </c>
      <c r="B45" s="930" t="s">
        <v>837</v>
      </c>
      <c r="C45" s="944">
        <v>2457</v>
      </c>
      <c r="D45" s="938">
        <v>0</v>
      </c>
      <c r="E45" s="939">
        <v>0</v>
      </c>
      <c r="F45" s="930">
        <v>0</v>
      </c>
      <c r="G45" s="930" t="s">
        <v>1075</v>
      </c>
      <c r="H45" s="930">
        <v>0</v>
      </c>
      <c r="M45" s="930">
        <v>38</v>
      </c>
    </row>
    <row r="46" spans="1:13" ht="15.75" x14ac:dyDescent="0.25">
      <c r="A46" s="943" t="s">
        <v>32</v>
      </c>
      <c r="B46" s="930" t="s">
        <v>838</v>
      </c>
      <c r="C46" s="944">
        <v>2515</v>
      </c>
      <c r="D46" s="938">
        <v>988</v>
      </c>
      <c r="E46" s="939">
        <v>29640</v>
      </c>
      <c r="F46" s="930">
        <v>22980</v>
      </c>
      <c r="G46" s="930" t="s">
        <v>1075</v>
      </c>
      <c r="H46" s="930">
        <v>22980</v>
      </c>
      <c r="M46" s="930">
        <v>38</v>
      </c>
    </row>
    <row r="47" spans="1:13" ht="15.75" x14ac:dyDescent="0.25">
      <c r="A47" s="943" t="s">
        <v>33</v>
      </c>
      <c r="B47" s="930" t="s">
        <v>839</v>
      </c>
      <c r="C47" s="944">
        <v>2002</v>
      </c>
      <c r="D47" s="938">
        <v>988</v>
      </c>
      <c r="E47" s="939">
        <v>29640</v>
      </c>
      <c r="F47" s="930">
        <v>29070</v>
      </c>
      <c r="G47" s="930" t="s">
        <v>1075</v>
      </c>
      <c r="H47" s="930">
        <v>29070</v>
      </c>
      <c r="M47" s="930">
        <v>38</v>
      </c>
    </row>
    <row r="48" spans="1:13" ht="15.75" x14ac:dyDescent="0.25">
      <c r="A48" s="943" t="s">
        <v>34</v>
      </c>
      <c r="B48" s="930" t="s">
        <v>840</v>
      </c>
      <c r="C48" s="944">
        <v>3544</v>
      </c>
      <c r="D48" s="938">
        <v>1140</v>
      </c>
      <c r="E48" s="939">
        <v>34200</v>
      </c>
      <c r="F48" s="930">
        <v>30300</v>
      </c>
      <c r="G48" s="930" t="s">
        <v>1075</v>
      </c>
      <c r="H48" s="930">
        <v>30300</v>
      </c>
      <c r="M48" s="930">
        <v>38</v>
      </c>
    </row>
    <row r="49" spans="1:13" ht="15.75" x14ac:dyDescent="0.25">
      <c r="A49" s="943" t="s">
        <v>314</v>
      </c>
      <c r="B49" s="930" t="s">
        <v>841</v>
      </c>
      <c r="C49" s="944">
        <v>2006</v>
      </c>
      <c r="D49" s="938">
        <v>988</v>
      </c>
      <c r="E49" s="939">
        <v>29640</v>
      </c>
      <c r="F49" s="930">
        <v>28380</v>
      </c>
      <c r="G49" s="930" t="s">
        <v>1075</v>
      </c>
      <c r="H49" s="930">
        <v>28380</v>
      </c>
      <c r="M49" s="930">
        <v>38</v>
      </c>
    </row>
    <row r="50" spans="1:13" ht="15.75" x14ac:dyDescent="0.25">
      <c r="A50" s="943" t="s">
        <v>36</v>
      </c>
      <c r="B50" s="930" t="s">
        <v>842</v>
      </c>
      <c r="C50" s="944">
        <v>2434</v>
      </c>
      <c r="D50" s="938">
        <v>1976</v>
      </c>
      <c r="E50" s="939">
        <v>59280</v>
      </c>
      <c r="F50" s="930">
        <v>52740</v>
      </c>
      <c r="G50" s="930" t="s">
        <v>1075</v>
      </c>
      <c r="H50" s="930">
        <v>52740</v>
      </c>
      <c r="M50" s="930">
        <v>38</v>
      </c>
    </row>
    <row r="51" spans="1:13" ht="15.75" x14ac:dyDescent="0.25">
      <c r="A51" s="943" t="s">
        <v>37</v>
      </c>
      <c r="B51" s="930" t="s">
        <v>843</v>
      </c>
      <c r="C51" s="944">
        <v>2522</v>
      </c>
      <c r="D51" s="938">
        <v>0</v>
      </c>
      <c r="E51" s="939">
        <v>0</v>
      </c>
      <c r="F51" s="930">
        <v>0</v>
      </c>
      <c r="G51" s="930" t="s">
        <v>1075</v>
      </c>
      <c r="H51" s="930">
        <v>0</v>
      </c>
      <c r="M51" s="930">
        <v>38</v>
      </c>
    </row>
    <row r="52" spans="1:13" ht="15.75" x14ac:dyDescent="0.25">
      <c r="A52" s="943" t="s">
        <v>38</v>
      </c>
      <c r="B52" s="930" t="s">
        <v>844</v>
      </c>
      <c r="C52" s="944">
        <v>2436</v>
      </c>
      <c r="D52" s="938">
        <v>0</v>
      </c>
      <c r="E52" s="939">
        <v>0</v>
      </c>
      <c r="F52" s="930">
        <v>0</v>
      </c>
      <c r="G52" s="930" t="s">
        <v>1075</v>
      </c>
      <c r="H52" s="930">
        <v>0</v>
      </c>
      <c r="M52" s="930">
        <v>38</v>
      </c>
    </row>
    <row r="53" spans="1:13" ht="15.75" x14ac:dyDescent="0.25">
      <c r="A53" s="943" t="s">
        <v>39</v>
      </c>
      <c r="B53" s="930" t="s">
        <v>845</v>
      </c>
      <c r="C53" s="944">
        <v>2452</v>
      </c>
      <c r="D53" s="938">
        <v>988</v>
      </c>
      <c r="E53" s="939">
        <v>29640</v>
      </c>
      <c r="F53" s="930">
        <v>16830</v>
      </c>
      <c r="G53" s="930" t="s">
        <v>1075</v>
      </c>
      <c r="H53" s="930">
        <v>16830</v>
      </c>
      <c r="M53" s="930">
        <v>38</v>
      </c>
    </row>
    <row r="54" spans="1:13" ht="15.75" x14ac:dyDescent="0.25">
      <c r="A54" s="943" t="s">
        <v>40</v>
      </c>
      <c r="B54" s="930" t="s">
        <v>846</v>
      </c>
      <c r="C54" s="944">
        <v>2627</v>
      </c>
      <c r="D54" s="938">
        <v>0</v>
      </c>
      <c r="E54" s="939">
        <v>0</v>
      </c>
      <c r="F54" s="930">
        <v>0</v>
      </c>
      <c r="G54" s="930" t="s">
        <v>1075</v>
      </c>
      <c r="H54" s="930">
        <v>0</v>
      </c>
      <c r="M54" s="930">
        <v>38</v>
      </c>
    </row>
    <row r="55" spans="1:13" ht="15.75" x14ac:dyDescent="0.25">
      <c r="A55" s="945" t="s">
        <v>619</v>
      </c>
      <c r="C55" s="946">
        <v>2009</v>
      </c>
      <c r="D55" s="938">
        <v>0</v>
      </c>
      <c r="E55" s="939">
        <v>0</v>
      </c>
      <c r="F55" s="930">
        <v>0</v>
      </c>
      <c r="G55" s="930" t="s">
        <v>1075</v>
      </c>
      <c r="H55" s="930">
        <v>0</v>
      </c>
      <c r="M55" s="930">
        <v>38</v>
      </c>
    </row>
    <row r="56" spans="1:13" ht="15.75" x14ac:dyDescent="0.25">
      <c r="A56" s="943" t="s">
        <v>44</v>
      </c>
      <c r="B56" s="930" t="s">
        <v>848</v>
      </c>
      <c r="C56" s="944">
        <v>2420</v>
      </c>
      <c r="D56" s="938">
        <v>1976</v>
      </c>
      <c r="E56" s="939">
        <v>59280</v>
      </c>
      <c r="F56" s="930">
        <v>42960</v>
      </c>
      <c r="G56" s="930" t="s">
        <v>1075</v>
      </c>
      <c r="H56" s="930">
        <v>42960</v>
      </c>
      <c r="M56" s="930">
        <v>38</v>
      </c>
    </row>
    <row r="57" spans="1:13" ht="15.75" x14ac:dyDescent="0.25">
      <c r="A57" s="943" t="s">
        <v>315</v>
      </c>
      <c r="B57" s="930" t="s">
        <v>849</v>
      </c>
      <c r="C57" s="944">
        <v>2473</v>
      </c>
      <c r="D57" s="938">
        <v>1482</v>
      </c>
      <c r="E57" s="939">
        <v>44460</v>
      </c>
      <c r="F57" s="930">
        <v>42180</v>
      </c>
      <c r="G57" s="930" t="s">
        <v>1075</v>
      </c>
      <c r="H57" s="930">
        <v>42180</v>
      </c>
      <c r="M57" s="930">
        <v>38</v>
      </c>
    </row>
    <row r="58" spans="1:13" ht="15.75" x14ac:dyDescent="0.25">
      <c r="A58" s="943" t="s">
        <v>43</v>
      </c>
      <c r="B58" s="930" t="s">
        <v>850</v>
      </c>
      <c r="C58" s="944">
        <v>2471</v>
      </c>
      <c r="D58" s="938">
        <v>0</v>
      </c>
      <c r="E58" s="939">
        <v>0</v>
      </c>
      <c r="F58" s="930">
        <v>0</v>
      </c>
      <c r="G58" s="930" t="s">
        <v>1075</v>
      </c>
      <c r="H58" s="930">
        <v>0</v>
      </c>
      <c r="M58" s="930">
        <v>38</v>
      </c>
    </row>
    <row r="59" spans="1:13" ht="15.75" x14ac:dyDescent="0.25">
      <c r="A59" s="943" t="s">
        <v>45</v>
      </c>
      <c r="B59" s="930" t="s">
        <v>851</v>
      </c>
      <c r="C59" s="944">
        <v>2003</v>
      </c>
      <c r="D59" s="938">
        <v>988</v>
      </c>
      <c r="E59" s="939">
        <v>29640</v>
      </c>
      <c r="F59" s="930">
        <v>29640</v>
      </c>
      <c r="G59" s="930" t="s">
        <v>1075</v>
      </c>
      <c r="H59" s="930">
        <v>29640</v>
      </c>
      <c r="M59" s="930">
        <v>38</v>
      </c>
    </row>
    <row r="60" spans="1:13" ht="15.75" x14ac:dyDescent="0.25">
      <c r="A60" s="943" t="s">
        <v>46</v>
      </c>
      <c r="B60" s="930" t="s">
        <v>852</v>
      </c>
      <c r="C60" s="944">
        <v>2423</v>
      </c>
      <c r="D60" s="938">
        <v>0</v>
      </c>
      <c r="E60" s="939">
        <v>0</v>
      </c>
      <c r="F60" s="930">
        <v>0</v>
      </c>
      <c r="G60" s="930" t="s">
        <v>1075</v>
      </c>
      <c r="H60" s="930">
        <v>0</v>
      </c>
      <c r="M60" s="930">
        <v>38</v>
      </c>
    </row>
    <row r="61" spans="1:13" ht="15.75" x14ac:dyDescent="0.25">
      <c r="A61" s="943" t="s">
        <v>47</v>
      </c>
      <c r="B61" s="930" t="s">
        <v>853</v>
      </c>
      <c r="C61" s="944">
        <v>2424</v>
      </c>
      <c r="D61" s="938">
        <v>0</v>
      </c>
      <c r="E61" s="939">
        <v>0</v>
      </c>
      <c r="F61" s="930">
        <v>0</v>
      </c>
      <c r="G61" s="930" t="s">
        <v>1075</v>
      </c>
      <c r="H61" s="930">
        <v>0</v>
      </c>
      <c r="M61" s="930">
        <v>38</v>
      </c>
    </row>
    <row r="62" spans="1:13" ht="15.75" x14ac:dyDescent="0.25">
      <c r="A62" s="943" t="s">
        <v>48</v>
      </c>
      <c r="B62" s="930" t="s">
        <v>854</v>
      </c>
      <c r="C62" s="944">
        <v>2439</v>
      </c>
      <c r="D62" s="938">
        <v>0</v>
      </c>
      <c r="E62" s="939">
        <v>0</v>
      </c>
      <c r="F62" s="930">
        <v>0</v>
      </c>
      <c r="G62" s="930" t="s">
        <v>1075</v>
      </c>
      <c r="H62" s="930">
        <v>0</v>
      </c>
      <c r="M62" s="930">
        <v>38</v>
      </c>
    </row>
    <row r="63" spans="1:13" ht="15.75" x14ac:dyDescent="0.25">
      <c r="A63" s="943" t="s">
        <v>49</v>
      </c>
      <c r="B63" s="930" t="s">
        <v>855</v>
      </c>
      <c r="C63" s="944">
        <v>2440</v>
      </c>
      <c r="D63" s="938">
        <v>0</v>
      </c>
      <c r="E63" s="939">
        <v>0</v>
      </c>
      <c r="F63" s="930">
        <v>0</v>
      </c>
      <c r="G63" s="930" t="s">
        <v>1075</v>
      </c>
      <c r="H63" s="930">
        <v>0</v>
      </c>
      <c r="M63" s="930">
        <v>38</v>
      </c>
    </row>
    <row r="64" spans="1:13" ht="15.75" x14ac:dyDescent="0.25">
      <c r="A64" s="943" t="s">
        <v>316</v>
      </c>
      <c r="B64" s="930" t="s">
        <v>856</v>
      </c>
      <c r="C64" s="944">
        <v>2462</v>
      </c>
      <c r="D64" s="938">
        <v>988</v>
      </c>
      <c r="E64" s="939">
        <v>29640</v>
      </c>
      <c r="F64" s="930">
        <v>29568</v>
      </c>
      <c r="G64" s="930" t="s">
        <v>1075</v>
      </c>
      <c r="H64" s="930">
        <v>29568</v>
      </c>
      <c r="M64" s="930">
        <v>38</v>
      </c>
    </row>
    <row r="65" spans="1:13" ht="15.75" x14ac:dyDescent="0.25">
      <c r="A65" s="947" t="s">
        <v>51</v>
      </c>
      <c r="B65" s="930" t="s">
        <v>857</v>
      </c>
      <c r="C65" s="948">
        <v>2463</v>
      </c>
      <c r="D65" s="938">
        <v>0</v>
      </c>
      <c r="E65" s="939">
        <v>0</v>
      </c>
      <c r="F65" s="930">
        <v>0</v>
      </c>
      <c r="G65" s="930" t="s">
        <v>1075</v>
      </c>
      <c r="H65" s="930">
        <v>0</v>
      </c>
      <c r="M65" s="930">
        <v>38</v>
      </c>
    </row>
    <row r="66" spans="1:13" ht="15.75" x14ac:dyDescent="0.25">
      <c r="A66" s="947" t="s">
        <v>52</v>
      </c>
      <c r="B66" s="930" t="s">
        <v>858</v>
      </c>
      <c r="C66" s="948">
        <v>2505</v>
      </c>
      <c r="D66" s="938">
        <v>1900</v>
      </c>
      <c r="E66" s="939">
        <v>57000</v>
      </c>
      <c r="F66" s="930">
        <v>50190</v>
      </c>
      <c r="G66" s="930" t="s">
        <v>1075</v>
      </c>
      <c r="H66" s="930">
        <v>50190</v>
      </c>
      <c r="M66" s="930">
        <v>38</v>
      </c>
    </row>
    <row r="67" spans="1:13" x14ac:dyDescent="0.25">
      <c r="A67" s="949" t="s">
        <v>53</v>
      </c>
      <c r="B67" s="930" t="s">
        <v>859</v>
      </c>
      <c r="C67" s="950">
        <v>2000</v>
      </c>
      <c r="D67" s="938">
        <v>988</v>
      </c>
      <c r="E67" s="939">
        <v>29640</v>
      </c>
      <c r="F67" s="930">
        <v>24210</v>
      </c>
      <c r="G67" s="930" t="s">
        <v>1075</v>
      </c>
      <c r="H67" s="930">
        <v>24210</v>
      </c>
      <c r="M67" s="930">
        <v>38</v>
      </c>
    </row>
    <row r="68" spans="1:13" x14ac:dyDescent="0.25">
      <c r="A68" s="949" t="s">
        <v>54</v>
      </c>
      <c r="B68" s="930" t="s">
        <v>860</v>
      </c>
      <c r="C68" s="950">
        <v>2458</v>
      </c>
      <c r="D68" s="938">
        <v>0</v>
      </c>
      <c r="E68" s="939">
        <v>0</v>
      </c>
      <c r="F68" s="930">
        <v>0</v>
      </c>
      <c r="G68" s="930" t="s">
        <v>1075</v>
      </c>
      <c r="H68" s="930">
        <v>0</v>
      </c>
      <c r="M68" s="930">
        <v>38</v>
      </c>
    </row>
    <row r="69" spans="1:13" ht="15.75" x14ac:dyDescent="0.25">
      <c r="A69" s="947" t="s">
        <v>55</v>
      </c>
      <c r="B69" s="930" t="s">
        <v>861</v>
      </c>
      <c r="C69" s="948">
        <v>2001</v>
      </c>
      <c r="D69" s="938">
        <v>1976</v>
      </c>
      <c r="E69" s="939">
        <v>59280</v>
      </c>
      <c r="F69" s="930">
        <v>32340</v>
      </c>
      <c r="G69" s="930" t="s">
        <v>1075</v>
      </c>
      <c r="H69" s="930">
        <v>32340</v>
      </c>
      <c r="M69" s="930">
        <v>38</v>
      </c>
    </row>
    <row r="70" spans="1:13" ht="15.75" x14ac:dyDescent="0.25">
      <c r="A70" s="947" t="s">
        <v>56</v>
      </c>
      <c r="B70" s="930" t="s">
        <v>862</v>
      </c>
      <c r="C70" s="948">
        <v>2429</v>
      </c>
      <c r="D70" s="938">
        <v>1482</v>
      </c>
      <c r="E70" s="939">
        <v>44460</v>
      </c>
      <c r="F70" s="930">
        <v>34110</v>
      </c>
      <c r="G70" s="930" t="s">
        <v>1075</v>
      </c>
      <c r="H70" s="930">
        <v>34110</v>
      </c>
      <c r="M70" s="930">
        <v>38</v>
      </c>
    </row>
    <row r="71" spans="1:13" ht="15.75" x14ac:dyDescent="0.25">
      <c r="A71" s="947" t="s">
        <v>57</v>
      </c>
      <c r="B71" s="930" t="s">
        <v>863</v>
      </c>
      <c r="C71" s="948">
        <v>2444</v>
      </c>
      <c r="D71" s="938">
        <v>988</v>
      </c>
      <c r="E71" s="939">
        <v>29640</v>
      </c>
      <c r="F71" s="930">
        <v>29460</v>
      </c>
      <c r="G71" s="930" t="s">
        <v>1075</v>
      </c>
      <c r="H71" s="930">
        <v>29460</v>
      </c>
      <c r="M71" s="930">
        <v>38</v>
      </c>
    </row>
    <row r="72" spans="1:13" ht="15.75" x14ac:dyDescent="0.25">
      <c r="A72" s="947" t="s">
        <v>58</v>
      </c>
      <c r="B72" s="930" t="s">
        <v>864</v>
      </c>
      <c r="C72" s="948">
        <v>5209</v>
      </c>
      <c r="D72" s="938">
        <v>0</v>
      </c>
      <c r="E72" s="939">
        <v>0</v>
      </c>
      <c r="F72" s="930">
        <v>0</v>
      </c>
      <c r="G72" s="930" t="s">
        <v>1075</v>
      </c>
      <c r="H72" s="930">
        <v>0</v>
      </c>
      <c r="M72" s="930">
        <v>38</v>
      </c>
    </row>
    <row r="73" spans="1:13" ht="15.75" x14ac:dyDescent="0.25">
      <c r="A73" s="943" t="s">
        <v>59</v>
      </c>
      <c r="B73" s="930" t="s">
        <v>865</v>
      </c>
      <c r="C73" s="944">
        <v>2469</v>
      </c>
      <c r="D73" s="938">
        <v>0</v>
      </c>
      <c r="E73" s="939">
        <v>0</v>
      </c>
      <c r="F73" s="930">
        <v>0</v>
      </c>
      <c r="G73" s="930" t="s">
        <v>1075</v>
      </c>
      <c r="H73" s="930">
        <v>0</v>
      </c>
      <c r="M73" s="930">
        <v>38</v>
      </c>
    </row>
    <row r="74" spans="1:13" ht="15.75" x14ac:dyDescent="0.25">
      <c r="A74" s="943" t="s">
        <v>60</v>
      </c>
      <c r="B74" s="930" t="s">
        <v>866</v>
      </c>
      <c r="C74" s="944">
        <v>2430</v>
      </c>
      <c r="D74" s="938">
        <v>988</v>
      </c>
      <c r="E74" s="939">
        <v>29640</v>
      </c>
      <c r="F74" s="930">
        <v>11910</v>
      </c>
      <c r="G74" s="930" t="s">
        <v>1075</v>
      </c>
      <c r="H74" s="930">
        <v>11910</v>
      </c>
      <c r="M74" s="930">
        <v>38</v>
      </c>
    </row>
    <row r="75" spans="1:13" ht="15.75" x14ac:dyDescent="0.25">
      <c r="A75" s="943" t="s">
        <v>61</v>
      </c>
      <c r="B75" s="930" t="s">
        <v>867</v>
      </c>
      <c r="C75" s="944">
        <v>2466</v>
      </c>
      <c r="D75" s="938">
        <v>0</v>
      </c>
      <c r="E75" s="939">
        <v>0</v>
      </c>
      <c r="F75" s="930">
        <v>0</v>
      </c>
      <c r="G75" s="930" t="s">
        <v>1075</v>
      </c>
      <c r="H75" s="930">
        <v>0</v>
      </c>
      <c r="M75" s="930">
        <v>38</v>
      </c>
    </row>
    <row r="76" spans="1:13" ht="15.75" x14ac:dyDescent="0.25">
      <c r="A76" s="943" t="s">
        <v>106</v>
      </c>
      <c r="B76" s="930" t="s">
        <v>868</v>
      </c>
      <c r="C76" s="944">
        <v>3543</v>
      </c>
      <c r="D76" s="938">
        <v>1482</v>
      </c>
      <c r="E76" s="939">
        <v>44460</v>
      </c>
      <c r="F76" s="930">
        <v>28410</v>
      </c>
      <c r="G76" s="930" t="s">
        <v>1075</v>
      </c>
      <c r="H76" s="930">
        <v>28410</v>
      </c>
      <c r="M76" s="930">
        <v>38</v>
      </c>
    </row>
    <row r="77" spans="1:13" ht="15.75" x14ac:dyDescent="0.25">
      <c r="A77" s="943" t="s">
        <v>317</v>
      </c>
      <c r="B77" s="930" t="s">
        <v>869</v>
      </c>
      <c r="C77" s="944">
        <v>3158</v>
      </c>
      <c r="D77" s="938">
        <v>1482</v>
      </c>
      <c r="E77" s="939">
        <v>44460</v>
      </c>
      <c r="F77" s="930">
        <v>32250</v>
      </c>
      <c r="G77" s="930" t="s">
        <v>1075</v>
      </c>
      <c r="H77" s="930">
        <v>32250</v>
      </c>
      <c r="M77" s="930">
        <v>38</v>
      </c>
    </row>
    <row r="78" spans="1:13" ht="15.75" x14ac:dyDescent="0.25">
      <c r="A78" s="951" t="s">
        <v>623</v>
      </c>
      <c r="B78" s="930" t="s">
        <v>870</v>
      </c>
      <c r="C78" s="952">
        <v>3531</v>
      </c>
      <c r="D78" s="938">
        <v>0</v>
      </c>
      <c r="E78" s="939">
        <v>0</v>
      </c>
      <c r="F78" s="930">
        <v>0</v>
      </c>
      <c r="G78" s="930" t="s">
        <v>1075</v>
      </c>
      <c r="H78" s="930">
        <v>0</v>
      </c>
      <c r="M78" s="930">
        <v>38</v>
      </c>
    </row>
    <row r="79" spans="1:13" ht="15.75" x14ac:dyDescent="0.25">
      <c r="A79" s="943" t="s">
        <v>318</v>
      </c>
      <c r="B79" s="930" t="s">
        <v>871</v>
      </c>
      <c r="C79" s="944">
        <v>3526</v>
      </c>
      <c r="D79" s="938">
        <v>760</v>
      </c>
      <c r="E79" s="939">
        <v>22800</v>
      </c>
      <c r="F79" s="930">
        <v>19170</v>
      </c>
      <c r="G79" s="930" t="s">
        <v>1075</v>
      </c>
      <c r="H79" s="930">
        <v>19170</v>
      </c>
      <c r="M79" s="930">
        <v>38</v>
      </c>
    </row>
    <row r="80" spans="1:13" ht="15.75" x14ac:dyDescent="0.25">
      <c r="A80" s="943" t="s">
        <v>319</v>
      </c>
      <c r="B80" s="930" t="s">
        <v>872</v>
      </c>
      <c r="C80" s="944">
        <v>3535</v>
      </c>
      <c r="D80" s="938">
        <v>0</v>
      </c>
      <c r="E80" s="939">
        <v>0</v>
      </c>
      <c r="F80" s="930">
        <v>0</v>
      </c>
      <c r="G80" s="930" t="s">
        <v>1075</v>
      </c>
      <c r="H80" s="930">
        <v>0</v>
      </c>
      <c r="M80" s="930">
        <v>38</v>
      </c>
    </row>
    <row r="81" spans="1:15" ht="15.75" x14ac:dyDescent="0.25">
      <c r="A81" s="945" t="s">
        <v>620</v>
      </c>
      <c r="C81" s="946">
        <v>2008</v>
      </c>
      <c r="D81" s="938">
        <v>0</v>
      </c>
      <c r="E81" s="939">
        <v>0</v>
      </c>
      <c r="F81" s="930">
        <v>0</v>
      </c>
      <c r="G81" s="930" t="s">
        <v>1075</v>
      </c>
      <c r="H81" s="930">
        <v>0</v>
      </c>
      <c r="M81" s="930">
        <v>38</v>
      </c>
    </row>
    <row r="82" spans="1:15" ht="15.75" x14ac:dyDescent="0.25">
      <c r="A82" s="943" t="s">
        <v>321</v>
      </c>
      <c r="B82" s="930" t="s">
        <v>874</v>
      </c>
      <c r="C82" s="944">
        <v>3542</v>
      </c>
      <c r="D82" s="938">
        <v>0</v>
      </c>
      <c r="E82" s="939">
        <v>0</v>
      </c>
      <c r="F82" s="930">
        <v>0</v>
      </c>
      <c r="G82" s="930" t="s">
        <v>1075</v>
      </c>
      <c r="H82" s="930">
        <v>0</v>
      </c>
      <c r="M82" s="930">
        <v>38</v>
      </c>
    </row>
    <row r="83" spans="1:15" ht="15.75" x14ac:dyDescent="0.25">
      <c r="A83" s="943" t="s">
        <v>322</v>
      </c>
      <c r="B83" s="930" t="s">
        <v>875</v>
      </c>
      <c r="C83" s="944">
        <v>3528</v>
      </c>
      <c r="D83" s="938">
        <v>1976</v>
      </c>
      <c r="E83" s="939">
        <v>59280</v>
      </c>
      <c r="F83" s="930">
        <v>23388</v>
      </c>
      <c r="G83" s="930" t="s">
        <v>1075</v>
      </c>
      <c r="H83" s="930">
        <v>23388</v>
      </c>
      <c r="M83" s="930">
        <v>38</v>
      </c>
    </row>
    <row r="84" spans="1:15" ht="15.75" x14ac:dyDescent="0.25">
      <c r="A84" s="943" t="s">
        <v>323</v>
      </c>
      <c r="B84" s="930" t="s">
        <v>876</v>
      </c>
      <c r="C84" s="944">
        <v>3534</v>
      </c>
      <c r="D84" s="938">
        <v>0</v>
      </c>
      <c r="E84" s="939">
        <v>0</v>
      </c>
      <c r="F84" s="930">
        <v>0</v>
      </c>
      <c r="G84" s="930" t="s">
        <v>1075</v>
      </c>
      <c r="H84" s="930">
        <v>0</v>
      </c>
      <c r="M84" s="930">
        <v>38</v>
      </c>
    </row>
    <row r="85" spans="1:15" ht="15.75" x14ac:dyDescent="0.25">
      <c r="A85" s="943" t="s">
        <v>324</v>
      </c>
      <c r="B85" s="930" t="s">
        <v>877</v>
      </c>
      <c r="C85" s="944">
        <v>3532</v>
      </c>
      <c r="D85" s="938">
        <v>0</v>
      </c>
      <c r="E85" s="939">
        <v>0</v>
      </c>
      <c r="F85" s="930">
        <v>0</v>
      </c>
      <c r="G85" s="930" t="s">
        <v>1075</v>
      </c>
      <c r="H85" s="930">
        <v>0</v>
      </c>
      <c r="M85" s="930">
        <v>38</v>
      </c>
    </row>
    <row r="86" spans="1:15" ht="15.75" x14ac:dyDescent="0.25">
      <c r="A86" s="943" t="s">
        <v>69</v>
      </c>
      <c r="B86" s="930" t="s">
        <v>878</v>
      </c>
      <c r="C86" s="944">
        <v>3546</v>
      </c>
      <c r="D86" s="938">
        <v>1482</v>
      </c>
      <c r="E86" s="939">
        <v>44460</v>
      </c>
      <c r="F86" s="930">
        <v>39420</v>
      </c>
      <c r="G86" s="930" t="s">
        <v>1075</v>
      </c>
      <c r="H86" s="930">
        <v>39420</v>
      </c>
      <c r="M86" s="930">
        <v>38</v>
      </c>
    </row>
    <row r="87" spans="1:15" ht="15.75" x14ac:dyDescent="0.25">
      <c r="A87" s="943" t="s">
        <v>325</v>
      </c>
      <c r="B87" s="930" t="s">
        <v>879</v>
      </c>
      <c r="C87" s="944">
        <v>3530</v>
      </c>
      <c r="D87" s="938">
        <v>988</v>
      </c>
      <c r="E87" s="939">
        <v>29640</v>
      </c>
      <c r="F87" s="930">
        <v>27990</v>
      </c>
      <c r="G87" s="930" t="s">
        <v>1075</v>
      </c>
      <c r="H87" s="930">
        <v>27990</v>
      </c>
      <c r="M87" s="930">
        <v>38</v>
      </c>
    </row>
    <row r="88" spans="1:15" ht="15.75" x14ac:dyDescent="0.25">
      <c r="A88" s="943" t="s">
        <v>70</v>
      </c>
      <c r="B88" s="930" t="s">
        <v>880</v>
      </c>
      <c r="C88" s="944">
        <v>2459</v>
      </c>
      <c r="D88" s="938">
        <v>0</v>
      </c>
      <c r="E88" s="939">
        <v>0</v>
      </c>
      <c r="F88" s="930">
        <v>0</v>
      </c>
      <c r="G88" s="930" t="s">
        <v>1075</v>
      </c>
      <c r="H88" s="930">
        <v>0</v>
      </c>
      <c r="M88" s="930">
        <v>38</v>
      </c>
    </row>
    <row r="89" spans="1:15" x14ac:dyDescent="0.25">
      <c r="D89" s="941">
        <v>49818</v>
      </c>
      <c r="E89" s="941">
        <v>1494540</v>
      </c>
      <c r="F89" s="941">
        <v>1130070</v>
      </c>
      <c r="H89" s="941">
        <v>1130070</v>
      </c>
      <c r="I89" s="941">
        <v>0</v>
      </c>
      <c r="J89" s="941">
        <v>0</v>
      </c>
      <c r="K89" s="941">
        <v>0</v>
      </c>
      <c r="L89" s="941">
        <v>0</v>
      </c>
      <c r="M89" s="941">
        <v>38</v>
      </c>
      <c r="O89" s="941">
        <v>0</v>
      </c>
    </row>
    <row r="92" spans="1:15" x14ac:dyDescent="0.25">
      <c r="C92" s="930" t="s">
        <v>1268</v>
      </c>
      <c r="D92" s="953">
        <v>62890</v>
      </c>
      <c r="E92" s="953">
        <v>1886700</v>
      </c>
      <c r="F92" s="953">
        <v>1434216</v>
      </c>
      <c r="H92" s="953">
        <v>1130070</v>
      </c>
      <c r="I92" s="953">
        <v>304146</v>
      </c>
      <c r="J92" s="953">
        <v>0</v>
      </c>
      <c r="K92" s="953">
        <v>0</v>
      </c>
      <c r="L92" s="953">
        <v>0</v>
      </c>
      <c r="M92" s="953">
        <v>38</v>
      </c>
      <c r="O92" s="953">
        <v>8</v>
      </c>
    </row>
    <row r="95" spans="1:15" x14ac:dyDescent="0.25">
      <c r="A95" s="925" t="s">
        <v>1072</v>
      </c>
      <c r="B95" s="926" t="s">
        <v>1073</v>
      </c>
      <c r="C95" s="926">
        <v>206189</v>
      </c>
      <c r="D95" s="954"/>
      <c r="E95" s="954"/>
      <c r="F95" s="953">
        <v>16920</v>
      </c>
      <c r="G95" s="930" t="s">
        <v>1074</v>
      </c>
      <c r="J95" s="953"/>
      <c r="K95" s="953">
        <v>16920</v>
      </c>
      <c r="M95" s="930">
        <v>38</v>
      </c>
    </row>
    <row r="96" spans="1:15" x14ac:dyDescent="0.25">
      <c r="A96" s="885" t="s">
        <v>1076</v>
      </c>
      <c r="B96" s="949"/>
      <c r="C96" s="886" t="s">
        <v>1077</v>
      </c>
      <c r="D96" s="954"/>
      <c r="E96" s="954"/>
      <c r="F96" s="953">
        <v>13158</v>
      </c>
      <c r="G96" s="930" t="s">
        <v>1074</v>
      </c>
      <c r="J96" s="953"/>
      <c r="K96" s="953">
        <v>13158</v>
      </c>
      <c r="M96" s="930">
        <v>38</v>
      </c>
    </row>
    <row r="97" spans="1:13" x14ac:dyDescent="0.25">
      <c r="A97" s="925" t="s">
        <v>1079</v>
      </c>
      <c r="B97" s="926" t="s">
        <v>1080</v>
      </c>
      <c r="C97" s="926" t="s">
        <v>1081</v>
      </c>
      <c r="D97" s="954"/>
      <c r="E97" s="954"/>
      <c r="F97" s="953">
        <v>5580</v>
      </c>
      <c r="G97" s="930" t="s">
        <v>1074</v>
      </c>
      <c r="J97" s="953"/>
      <c r="K97" s="953">
        <v>5580</v>
      </c>
      <c r="M97" s="930">
        <v>38</v>
      </c>
    </row>
    <row r="98" spans="1:13" x14ac:dyDescent="0.25">
      <c r="A98" s="955" t="s">
        <v>1082</v>
      </c>
      <c r="B98" s="956"/>
      <c r="C98" s="956" t="s">
        <v>1083</v>
      </c>
      <c r="D98" s="954"/>
      <c r="E98" s="954"/>
      <c r="F98" s="953">
        <v>6900</v>
      </c>
      <c r="G98" s="930" t="s">
        <v>1074</v>
      </c>
      <c r="J98" s="953"/>
      <c r="K98" s="953">
        <v>6900</v>
      </c>
      <c r="M98" s="930">
        <v>38</v>
      </c>
    </row>
    <row r="99" spans="1:13" x14ac:dyDescent="0.25">
      <c r="A99" s="925" t="s">
        <v>1084</v>
      </c>
      <c r="B99" s="926" t="s">
        <v>1085</v>
      </c>
      <c r="C99" s="926">
        <v>206124</v>
      </c>
      <c r="D99" s="954"/>
      <c r="E99" s="954"/>
      <c r="F99" s="953">
        <v>7350</v>
      </c>
      <c r="G99" s="930" t="s">
        <v>1086</v>
      </c>
      <c r="J99" s="953">
        <v>7350</v>
      </c>
      <c r="K99" s="953"/>
      <c r="M99" s="930">
        <v>38</v>
      </c>
    </row>
    <row r="100" spans="1:13" x14ac:dyDescent="0.25">
      <c r="A100" s="925" t="s">
        <v>1087</v>
      </c>
      <c r="B100" s="926" t="s">
        <v>1088</v>
      </c>
      <c r="C100" s="926" t="s">
        <v>1089</v>
      </c>
      <c r="D100" s="954"/>
      <c r="E100" s="954"/>
      <c r="F100" s="953">
        <v>8034</v>
      </c>
      <c r="G100" s="930" t="s">
        <v>1086</v>
      </c>
      <c r="J100" s="953">
        <v>8034</v>
      </c>
      <c r="K100" s="953"/>
      <c r="M100" s="930">
        <v>38</v>
      </c>
    </row>
    <row r="101" spans="1:13" x14ac:dyDescent="0.25">
      <c r="A101" s="926" t="s">
        <v>1090</v>
      </c>
      <c r="B101" s="926" t="s">
        <v>1091</v>
      </c>
      <c r="C101" s="926">
        <v>206126</v>
      </c>
      <c r="D101" s="954"/>
      <c r="E101" s="954"/>
      <c r="F101" s="953">
        <v>17070</v>
      </c>
      <c r="G101" s="930" t="s">
        <v>1086</v>
      </c>
      <c r="J101" s="953">
        <v>17070</v>
      </c>
      <c r="K101" s="953"/>
      <c r="M101" s="930">
        <v>38</v>
      </c>
    </row>
    <row r="102" spans="1:13" x14ac:dyDescent="0.25">
      <c r="A102" s="926" t="s">
        <v>1092</v>
      </c>
      <c r="B102" s="926" t="s">
        <v>1093</v>
      </c>
      <c r="C102" s="926">
        <v>206111</v>
      </c>
      <c r="D102" s="954"/>
      <c r="E102" s="954"/>
      <c r="F102" s="953">
        <v>24768</v>
      </c>
      <c r="G102" s="930" t="s">
        <v>1074</v>
      </c>
      <c r="J102" s="953"/>
      <c r="K102" s="953">
        <v>24768</v>
      </c>
      <c r="M102" s="930">
        <v>38</v>
      </c>
    </row>
    <row r="103" spans="1:13" x14ac:dyDescent="0.25">
      <c r="A103" s="925" t="s">
        <v>1094</v>
      </c>
      <c r="B103" s="926" t="s">
        <v>1095</v>
      </c>
      <c r="C103" s="926">
        <v>206091</v>
      </c>
      <c r="D103" s="954"/>
      <c r="E103" s="954"/>
      <c r="F103" s="953">
        <v>11016</v>
      </c>
      <c r="G103" s="930" t="s">
        <v>1074</v>
      </c>
      <c r="J103" s="953"/>
      <c r="K103" s="953">
        <v>11016</v>
      </c>
      <c r="M103" s="930">
        <v>38</v>
      </c>
    </row>
    <row r="104" spans="1:13" x14ac:dyDescent="0.25">
      <c r="A104" s="888" t="s">
        <v>1097</v>
      </c>
      <c r="B104" s="957"/>
      <c r="C104" s="889" t="s">
        <v>1098</v>
      </c>
      <c r="D104" s="954"/>
      <c r="E104" s="954"/>
      <c r="F104" s="953">
        <v>7614</v>
      </c>
      <c r="G104" s="930" t="s">
        <v>1074</v>
      </c>
      <c r="J104" s="953"/>
      <c r="K104" s="953">
        <v>7614</v>
      </c>
      <c r="M104" s="930">
        <v>38</v>
      </c>
    </row>
    <row r="105" spans="1:13" x14ac:dyDescent="0.25">
      <c r="A105" s="925" t="s">
        <v>1099</v>
      </c>
      <c r="B105" s="926" t="s">
        <v>1100</v>
      </c>
      <c r="C105" s="926">
        <v>206128</v>
      </c>
      <c r="D105" s="954"/>
      <c r="E105" s="954"/>
      <c r="F105" s="953">
        <v>8940</v>
      </c>
      <c r="G105" s="930" t="s">
        <v>1086</v>
      </c>
      <c r="J105" s="953">
        <v>8940</v>
      </c>
      <c r="K105" s="953"/>
      <c r="M105" s="930">
        <v>38</v>
      </c>
    </row>
    <row r="106" spans="1:13" x14ac:dyDescent="0.25">
      <c r="A106" s="958" t="s">
        <v>1101</v>
      </c>
      <c r="B106" s="959"/>
      <c r="C106" s="959" t="s">
        <v>1102</v>
      </c>
      <c r="D106" s="954"/>
      <c r="E106" s="954"/>
      <c r="F106" s="953">
        <v>0</v>
      </c>
      <c r="G106" s="930" t="s">
        <v>1086</v>
      </c>
      <c r="J106" s="953">
        <v>0</v>
      </c>
      <c r="K106" s="953"/>
      <c r="M106" s="930">
        <v>38</v>
      </c>
    </row>
    <row r="107" spans="1:13" x14ac:dyDescent="0.25">
      <c r="A107" s="960" t="s">
        <v>1103</v>
      </c>
      <c r="B107" s="961"/>
      <c r="C107" s="961">
        <v>205999</v>
      </c>
      <c r="D107" s="954"/>
      <c r="E107" s="954"/>
      <c r="F107" s="953">
        <v>288</v>
      </c>
      <c r="G107" s="930" t="s">
        <v>1086</v>
      </c>
      <c r="J107" s="953">
        <v>288</v>
      </c>
      <c r="K107" s="953"/>
      <c r="M107" s="930">
        <v>38</v>
      </c>
    </row>
    <row r="108" spans="1:13" x14ac:dyDescent="0.25">
      <c r="A108" s="960" t="s">
        <v>1104</v>
      </c>
      <c r="B108" s="961"/>
      <c r="C108" s="961">
        <v>205921</v>
      </c>
      <c r="D108" s="954"/>
      <c r="E108" s="954"/>
      <c r="F108" s="953">
        <v>72</v>
      </c>
      <c r="G108" s="930" t="s">
        <v>1086</v>
      </c>
      <c r="J108" s="953">
        <v>72</v>
      </c>
      <c r="K108" s="953"/>
      <c r="M108" s="930">
        <v>38</v>
      </c>
    </row>
    <row r="109" spans="1:13" x14ac:dyDescent="0.25">
      <c r="A109" s="962" t="s">
        <v>1121</v>
      </c>
      <c r="B109" s="959"/>
      <c r="C109" s="959" t="s">
        <v>1122</v>
      </c>
      <c r="D109" s="954"/>
      <c r="E109" s="954"/>
      <c r="F109" s="953">
        <v>0</v>
      </c>
      <c r="G109" s="930" t="s">
        <v>1086</v>
      </c>
      <c r="J109" s="953">
        <v>0</v>
      </c>
      <c r="K109" s="953"/>
      <c r="M109" s="930">
        <v>38</v>
      </c>
    </row>
    <row r="110" spans="1:13" x14ac:dyDescent="0.25">
      <c r="A110" s="962" t="s">
        <v>1105</v>
      </c>
      <c r="B110" s="961"/>
      <c r="C110" s="961">
        <v>205922</v>
      </c>
      <c r="D110" s="954"/>
      <c r="E110" s="954"/>
      <c r="F110" s="953">
        <v>216</v>
      </c>
      <c r="G110" s="930" t="s">
        <v>1086</v>
      </c>
      <c r="J110" s="953">
        <v>216</v>
      </c>
      <c r="K110" s="953"/>
      <c r="M110" s="930">
        <v>38</v>
      </c>
    </row>
    <row r="111" spans="1:13" x14ac:dyDescent="0.25">
      <c r="A111" s="958" t="s">
        <v>1106</v>
      </c>
      <c r="B111" s="959"/>
      <c r="C111" s="959" t="s">
        <v>1107</v>
      </c>
      <c r="D111" s="954"/>
      <c r="E111" s="954"/>
      <c r="F111" s="953">
        <v>0</v>
      </c>
      <c r="G111" s="930" t="s">
        <v>1086</v>
      </c>
      <c r="J111" s="953">
        <v>0</v>
      </c>
      <c r="K111" s="953"/>
      <c r="M111" s="930">
        <v>38</v>
      </c>
    </row>
    <row r="112" spans="1:13" x14ac:dyDescent="0.25">
      <c r="A112" s="963" t="s">
        <v>1108</v>
      </c>
      <c r="B112" s="959"/>
      <c r="C112" s="959">
        <v>205849</v>
      </c>
      <c r="D112" s="954"/>
      <c r="E112" s="954"/>
      <c r="F112" s="953">
        <v>0</v>
      </c>
      <c r="G112" s="930" t="s">
        <v>1086</v>
      </c>
      <c r="J112" s="953">
        <v>0</v>
      </c>
      <c r="K112" s="953"/>
      <c r="M112" s="930">
        <v>38</v>
      </c>
    </row>
    <row r="113" spans="1:13" x14ac:dyDescent="0.25">
      <c r="A113" s="960" t="s">
        <v>1109</v>
      </c>
      <c r="B113" s="961"/>
      <c r="C113" s="961" t="s">
        <v>1110</v>
      </c>
      <c r="D113" s="954"/>
      <c r="E113" s="954"/>
      <c r="F113" s="953">
        <v>180</v>
      </c>
      <c r="G113" s="930" t="s">
        <v>1086</v>
      </c>
      <c r="J113" s="953">
        <v>180</v>
      </c>
      <c r="K113" s="953"/>
      <c r="M113" s="930">
        <v>38</v>
      </c>
    </row>
    <row r="114" spans="1:13" x14ac:dyDescent="0.25">
      <c r="A114" s="963" t="s">
        <v>1111</v>
      </c>
      <c r="B114" s="961"/>
      <c r="C114" s="961">
        <v>2</v>
      </c>
      <c r="D114" s="954"/>
      <c r="E114" s="954"/>
      <c r="F114" s="953">
        <v>0</v>
      </c>
      <c r="G114" s="930" t="s">
        <v>1086</v>
      </c>
      <c r="J114" s="953">
        <v>0</v>
      </c>
      <c r="K114" s="953"/>
      <c r="M114" s="930">
        <v>38</v>
      </c>
    </row>
    <row r="115" spans="1:13" x14ac:dyDescent="0.25">
      <c r="A115" s="958" t="s">
        <v>1112</v>
      </c>
      <c r="B115" s="959"/>
      <c r="C115" s="959">
        <v>205956</v>
      </c>
      <c r="D115" s="954"/>
      <c r="E115" s="954"/>
      <c r="F115" s="953">
        <v>540</v>
      </c>
      <c r="G115" s="930" t="s">
        <v>1086</v>
      </c>
      <c r="J115" s="953">
        <v>540</v>
      </c>
      <c r="K115" s="953"/>
      <c r="M115" s="930">
        <v>38</v>
      </c>
    </row>
    <row r="116" spans="1:13" x14ac:dyDescent="0.25">
      <c r="A116" s="960" t="s">
        <v>1117</v>
      </c>
      <c r="B116" s="959"/>
      <c r="C116" s="959" t="s">
        <v>1118</v>
      </c>
      <c r="D116" s="954"/>
      <c r="E116" s="954"/>
      <c r="F116" s="953">
        <v>180</v>
      </c>
      <c r="G116" s="930" t="s">
        <v>1086</v>
      </c>
      <c r="J116" s="953">
        <v>180</v>
      </c>
      <c r="K116" s="953"/>
      <c r="M116" s="930">
        <v>38</v>
      </c>
    </row>
    <row r="117" spans="1:13" x14ac:dyDescent="0.25">
      <c r="A117" s="958" t="s">
        <v>1113</v>
      </c>
      <c r="B117" s="959"/>
      <c r="C117" s="959" t="s">
        <v>1114</v>
      </c>
      <c r="D117" s="954"/>
      <c r="E117" s="954"/>
      <c r="F117" s="953">
        <v>0</v>
      </c>
      <c r="G117" s="930" t="s">
        <v>1086</v>
      </c>
      <c r="J117" s="953">
        <v>0</v>
      </c>
      <c r="K117" s="953"/>
      <c r="M117" s="930">
        <v>38</v>
      </c>
    </row>
    <row r="118" spans="1:13" x14ac:dyDescent="0.25">
      <c r="A118" s="958" t="s">
        <v>1119</v>
      </c>
      <c r="B118" s="959"/>
      <c r="C118" s="959" t="s">
        <v>1120</v>
      </c>
      <c r="D118" s="954"/>
      <c r="E118" s="954"/>
      <c r="F118" s="953">
        <v>0</v>
      </c>
      <c r="G118" s="930" t="s">
        <v>1086</v>
      </c>
      <c r="J118" s="953">
        <v>0</v>
      </c>
      <c r="K118" s="953"/>
      <c r="M118" s="930">
        <v>38</v>
      </c>
    </row>
    <row r="119" spans="1:13" x14ac:dyDescent="0.25">
      <c r="A119" s="964" t="s">
        <v>1123</v>
      </c>
      <c r="B119" s="880"/>
      <c r="C119" s="880" t="s">
        <v>1124</v>
      </c>
      <c r="D119" s="954"/>
      <c r="E119" s="954"/>
      <c r="F119" s="953">
        <v>960</v>
      </c>
      <c r="G119" s="930" t="s">
        <v>1086</v>
      </c>
      <c r="J119" s="953">
        <v>960</v>
      </c>
      <c r="K119" s="953"/>
      <c r="M119" s="930">
        <v>38</v>
      </c>
    </row>
    <row r="120" spans="1:13" x14ac:dyDescent="0.25">
      <c r="A120" s="960" t="s">
        <v>1115</v>
      </c>
      <c r="B120" s="959"/>
      <c r="C120" s="959" t="s">
        <v>1116</v>
      </c>
      <c r="D120" s="954"/>
      <c r="E120" s="954"/>
      <c r="F120" s="953">
        <v>930</v>
      </c>
      <c r="G120" s="930" t="s">
        <v>1086</v>
      </c>
      <c r="J120" s="953">
        <v>930</v>
      </c>
      <c r="K120" s="953"/>
      <c r="M120" s="930">
        <v>38</v>
      </c>
    </row>
    <row r="121" spans="1:13" x14ac:dyDescent="0.25">
      <c r="A121" s="965" t="s">
        <v>1125</v>
      </c>
      <c r="B121" s="966"/>
      <c r="C121" s="966" t="s">
        <v>1126</v>
      </c>
      <c r="D121" s="954"/>
      <c r="E121" s="954"/>
      <c r="F121" s="953">
        <v>0</v>
      </c>
      <c r="G121" s="930" t="s">
        <v>1086</v>
      </c>
      <c r="J121" s="953">
        <v>0</v>
      </c>
      <c r="K121" s="953"/>
      <c r="M121" s="930">
        <v>38</v>
      </c>
    </row>
    <row r="122" spans="1:13" x14ac:dyDescent="0.25">
      <c r="A122" s="967" t="s">
        <v>1127</v>
      </c>
      <c r="B122" s="968"/>
      <c r="C122" s="968" t="s">
        <v>1128</v>
      </c>
      <c r="D122" s="954"/>
      <c r="E122" s="954"/>
      <c r="F122" s="953">
        <v>21660</v>
      </c>
      <c r="G122" s="930" t="s">
        <v>1086</v>
      </c>
      <c r="J122" s="953">
        <v>21660</v>
      </c>
      <c r="K122" s="953"/>
      <c r="M122" s="930">
        <v>38</v>
      </c>
    </row>
    <row r="123" spans="1:13" x14ac:dyDescent="0.25">
      <c r="A123" s="925" t="s">
        <v>1129</v>
      </c>
      <c r="B123" s="926" t="s">
        <v>1130</v>
      </c>
      <c r="C123" s="926" t="s">
        <v>1131</v>
      </c>
      <c r="D123" s="954"/>
      <c r="E123" s="954"/>
      <c r="F123" s="953">
        <v>8400</v>
      </c>
      <c r="G123" s="930" t="s">
        <v>1086</v>
      </c>
      <c r="J123" s="953">
        <v>8400</v>
      </c>
      <c r="K123" s="953"/>
      <c r="M123" s="930">
        <v>38</v>
      </c>
    </row>
    <row r="124" spans="1:13" x14ac:dyDescent="0.25">
      <c r="A124" s="969" t="s">
        <v>1132</v>
      </c>
      <c r="B124" s="956"/>
      <c r="C124" s="956" t="s">
        <v>1133</v>
      </c>
      <c r="D124" s="954"/>
      <c r="E124" s="954"/>
      <c r="F124" s="953">
        <v>8190</v>
      </c>
      <c r="G124" s="930" t="s">
        <v>1086</v>
      </c>
      <c r="J124" s="953">
        <v>8190</v>
      </c>
      <c r="K124" s="953"/>
      <c r="M124" s="930">
        <v>38</v>
      </c>
    </row>
    <row r="125" spans="1:13" x14ac:dyDescent="0.25">
      <c r="A125" s="925" t="s">
        <v>1134</v>
      </c>
      <c r="B125" s="926" t="s">
        <v>1135</v>
      </c>
      <c r="C125" s="926">
        <v>258417</v>
      </c>
      <c r="D125" s="954"/>
      <c r="E125" s="954"/>
      <c r="F125" s="953">
        <v>6234</v>
      </c>
      <c r="G125" s="930" t="s">
        <v>1086</v>
      </c>
      <c r="J125" s="953">
        <v>6234</v>
      </c>
      <c r="K125" s="953"/>
      <c r="M125" s="930">
        <v>38</v>
      </c>
    </row>
    <row r="126" spans="1:13" x14ac:dyDescent="0.25">
      <c r="A126" s="925" t="s">
        <v>1136</v>
      </c>
      <c r="B126" s="926" t="s">
        <v>1137</v>
      </c>
      <c r="C126" s="926" t="s">
        <v>1138</v>
      </c>
      <c r="D126" s="954"/>
      <c r="E126" s="954"/>
      <c r="F126" s="953">
        <v>9504</v>
      </c>
      <c r="G126" s="930" t="s">
        <v>1074</v>
      </c>
      <c r="J126" s="953"/>
      <c r="K126" s="953">
        <v>9504</v>
      </c>
      <c r="M126" s="930">
        <v>38</v>
      </c>
    </row>
    <row r="127" spans="1:13" x14ac:dyDescent="0.25">
      <c r="A127" s="925" t="s">
        <v>1139</v>
      </c>
      <c r="B127" s="926" t="s">
        <v>1140</v>
      </c>
      <c r="C127" s="926" t="s">
        <v>1141</v>
      </c>
      <c r="D127" s="954"/>
      <c r="E127" s="954"/>
      <c r="F127" s="953">
        <v>18661</v>
      </c>
      <c r="G127" s="930" t="s">
        <v>1086</v>
      </c>
      <c r="J127" s="953">
        <v>18661</v>
      </c>
      <c r="K127" s="953"/>
      <c r="M127" s="930">
        <v>38</v>
      </c>
    </row>
    <row r="128" spans="1:13" x14ac:dyDescent="0.25">
      <c r="A128" s="925" t="s">
        <v>1142</v>
      </c>
      <c r="B128" s="926" t="s">
        <v>1143</v>
      </c>
      <c r="C128" s="926">
        <v>206106</v>
      </c>
      <c r="D128" s="954"/>
      <c r="E128" s="954"/>
      <c r="F128" s="953">
        <v>10620</v>
      </c>
      <c r="G128" s="930" t="s">
        <v>1074</v>
      </c>
      <c r="J128" s="953"/>
      <c r="K128" s="953">
        <v>10620</v>
      </c>
      <c r="M128" s="930">
        <v>38</v>
      </c>
    </row>
    <row r="129" spans="1:13" x14ac:dyDescent="0.25">
      <c r="A129" s="888" t="s">
        <v>1144</v>
      </c>
      <c r="B129" s="957"/>
      <c r="C129" s="970" t="s">
        <v>1145</v>
      </c>
      <c r="D129" s="954"/>
      <c r="E129" s="954"/>
      <c r="F129" s="953">
        <v>26862</v>
      </c>
      <c r="G129" s="930" t="s">
        <v>1074</v>
      </c>
      <c r="J129" s="953"/>
      <c r="K129" s="953">
        <v>26862</v>
      </c>
      <c r="M129" s="930">
        <v>38</v>
      </c>
    </row>
    <row r="130" spans="1:13" x14ac:dyDescent="0.25">
      <c r="A130" s="925" t="s">
        <v>1147</v>
      </c>
      <c r="B130" s="926" t="s">
        <v>1093</v>
      </c>
      <c r="C130" s="926" t="s">
        <v>1148</v>
      </c>
      <c r="D130" s="954"/>
      <c r="E130" s="954"/>
      <c r="F130" s="953">
        <v>5874</v>
      </c>
      <c r="G130" s="930" t="s">
        <v>1086</v>
      </c>
      <c r="J130" s="953">
        <v>5874</v>
      </c>
      <c r="K130" s="953"/>
      <c r="M130" s="930">
        <v>38</v>
      </c>
    </row>
    <row r="131" spans="1:13" x14ac:dyDescent="0.25">
      <c r="A131" s="888" t="s">
        <v>1149</v>
      </c>
      <c r="B131" s="957"/>
      <c r="C131" s="970" t="s">
        <v>1150</v>
      </c>
      <c r="D131" s="954"/>
      <c r="E131" s="954"/>
      <c r="F131" s="953">
        <v>31398</v>
      </c>
      <c r="G131" s="930" t="s">
        <v>1074</v>
      </c>
      <c r="J131" s="953"/>
      <c r="K131" s="953">
        <v>31398</v>
      </c>
      <c r="M131" s="930">
        <v>38</v>
      </c>
    </row>
    <row r="132" spans="1:13" x14ac:dyDescent="0.25">
      <c r="A132" s="925" t="s">
        <v>1151</v>
      </c>
      <c r="B132" s="926" t="s">
        <v>1152</v>
      </c>
      <c r="C132" s="926">
        <v>206133</v>
      </c>
      <c r="D132" s="954"/>
      <c r="E132" s="954"/>
      <c r="F132" s="953">
        <v>10662</v>
      </c>
      <c r="G132" s="930" t="s">
        <v>1086</v>
      </c>
      <c r="J132" s="953">
        <v>10662</v>
      </c>
      <c r="K132" s="953"/>
      <c r="M132" s="930">
        <v>38</v>
      </c>
    </row>
    <row r="133" spans="1:13" x14ac:dyDescent="0.25">
      <c r="A133" s="925" t="s">
        <v>1153</v>
      </c>
      <c r="B133" s="926" t="s">
        <v>1154</v>
      </c>
      <c r="C133" s="926" t="s">
        <v>1155</v>
      </c>
      <c r="D133" s="954"/>
      <c r="E133" s="954"/>
      <c r="F133" s="953">
        <v>1620</v>
      </c>
      <c r="G133" s="930" t="s">
        <v>1074</v>
      </c>
      <c r="J133" s="953"/>
      <c r="K133" s="953">
        <v>1620</v>
      </c>
      <c r="M133" s="930">
        <v>38</v>
      </c>
    </row>
    <row r="134" spans="1:13" x14ac:dyDescent="0.25">
      <c r="A134" s="925" t="s">
        <v>1156</v>
      </c>
      <c r="B134" s="926" t="s">
        <v>1157</v>
      </c>
      <c r="C134" s="926">
        <v>206134</v>
      </c>
      <c r="D134" s="954"/>
      <c r="E134" s="954"/>
      <c r="F134" s="953">
        <v>20196</v>
      </c>
      <c r="G134" s="930" t="s">
        <v>1086</v>
      </c>
      <c r="J134" s="953">
        <v>20196</v>
      </c>
      <c r="K134" s="953"/>
      <c r="M134" s="930">
        <v>38</v>
      </c>
    </row>
    <row r="135" spans="1:13" x14ac:dyDescent="0.25">
      <c r="A135" s="925" t="s">
        <v>1158</v>
      </c>
      <c r="B135" s="926"/>
      <c r="C135" s="926" t="s">
        <v>1159</v>
      </c>
      <c r="D135" s="954"/>
      <c r="E135" s="954"/>
      <c r="F135" s="953">
        <v>20635</v>
      </c>
      <c r="G135" s="930" t="s">
        <v>1074</v>
      </c>
      <c r="J135" s="953"/>
      <c r="K135" s="953">
        <v>20635</v>
      </c>
      <c r="M135" s="930">
        <v>38</v>
      </c>
    </row>
    <row r="136" spans="1:13" x14ac:dyDescent="0.25">
      <c r="A136" s="925" t="s">
        <v>1160</v>
      </c>
      <c r="B136" s="926"/>
      <c r="C136" s="926" t="s">
        <v>1161</v>
      </c>
      <c r="D136" s="954"/>
      <c r="E136" s="954"/>
      <c r="F136" s="953">
        <v>11952</v>
      </c>
      <c r="G136" s="930" t="s">
        <v>1074</v>
      </c>
      <c r="J136" s="953"/>
      <c r="K136" s="953">
        <v>11952</v>
      </c>
      <c r="M136" s="930">
        <v>38</v>
      </c>
    </row>
    <row r="137" spans="1:13" x14ac:dyDescent="0.25">
      <c r="A137" s="925" t="s">
        <v>1162</v>
      </c>
      <c r="B137" s="926" t="s">
        <v>1163</v>
      </c>
      <c r="C137" s="926">
        <v>206109</v>
      </c>
      <c r="D137" s="954"/>
      <c r="E137" s="954"/>
      <c r="F137" s="953">
        <v>21112</v>
      </c>
      <c r="G137" s="930" t="s">
        <v>1074</v>
      </c>
      <c r="J137" s="953"/>
      <c r="K137" s="953">
        <v>21112</v>
      </c>
      <c r="M137" s="930">
        <v>38</v>
      </c>
    </row>
    <row r="138" spans="1:13" x14ac:dyDescent="0.25">
      <c r="A138" s="925" t="s">
        <v>1164</v>
      </c>
      <c r="B138" s="926" t="s">
        <v>1165</v>
      </c>
      <c r="C138" s="926">
        <v>206110</v>
      </c>
      <c r="D138" s="954"/>
      <c r="E138" s="954"/>
      <c r="F138" s="953">
        <v>21023.894736842107</v>
      </c>
      <c r="G138" s="930" t="s">
        <v>1074</v>
      </c>
      <c r="J138" s="953"/>
      <c r="K138" s="953">
        <v>21023.894736842107</v>
      </c>
      <c r="M138" s="930">
        <v>38</v>
      </c>
    </row>
    <row r="139" spans="1:13" x14ac:dyDescent="0.25">
      <c r="A139" s="925" t="s">
        <v>1166</v>
      </c>
      <c r="B139" s="926" t="s">
        <v>1167</v>
      </c>
      <c r="C139" s="926">
        <v>206135</v>
      </c>
      <c r="D139" s="954"/>
      <c r="E139" s="954"/>
      <c r="F139" s="953">
        <v>15666</v>
      </c>
      <c r="G139" s="930" t="s">
        <v>1086</v>
      </c>
      <c r="J139" s="953">
        <v>15666</v>
      </c>
      <c r="K139" s="953"/>
      <c r="M139" s="930">
        <v>38</v>
      </c>
    </row>
    <row r="140" spans="1:13" x14ac:dyDescent="0.25">
      <c r="A140" s="925" t="s">
        <v>1168</v>
      </c>
      <c r="B140" s="926" t="s">
        <v>1169</v>
      </c>
      <c r="C140" s="926">
        <v>509195</v>
      </c>
      <c r="D140" s="954"/>
      <c r="E140" s="954"/>
      <c r="F140" s="953">
        <v>8250</v>
      </c>
      <c r="G140" s="930" t="s">
        <v>1074</v>
      </c>
      <c r="J140" s="953"/>
      <c r="K140" s="953">
        <v>8250</v>
      </c>
      <c r="M140" s="930">
        <v>38</v>
      </c>
    </row>
    <row r="141" spans="1:13" x14ac:dyDescent="0.25">
      <c r="A141" s="967" t="s">
        <v>1170</v>
      </c>
      <c r="B141" s="956"/>
      <c r="C141" s="956" t="s">
        <v>1171</v>
      </c>
      <c r="D141" s="954"/>
      <c r="E141" s="954"/>
      <c r="F141" s="953">
        <v>11876</v>
      </c>
      <c r="G141" s="930" t="s">
        <v>1074</v>
      </c>
      <c r="J141" s="953"/>
      <c r="K141" s="953">
        <v>11876</v>
      </c>
      <c r="M141" s="930">
        <v>38</v>
      </c>
    </row>
    <row r="142" spans="1:13" x14ac:dyDescent="0.25">
      <c r="A142" s="925" t="s">
        <v>1172</v>
      </c>
      <c r="B142" s="926" t="s">
        <v>1173</v>
      </c>
      <c r="C142" s="926" t="s">
        <v>1174</v>
      </c>
      <c r="D142" s="954"/>
      <c r="E142" s="954"/>
      <c r="F142" s="953">
        <v>17376</v>
      </c>
      <c r="G142" s="930" t="s">
        <v>1086</v>
      </c>
      <c r="J142" s="953">
        <v>17376</v>
      </c>
      <c r="K142" s="953"/>
      <c r="M142" s="930">
        <v>38</v>
      </c>
    </row>
    <row r="143" spans="1:13" x14ac:dyDescent="0.25">
      <c r="A143" s="925" t="s">
        <v>1175</v>
      </c>
      <c r="B143" s="926" t="s">
        <v>1176</v>
      </c>
      <c r="C143" s="926">
        <v>509199</v>
      </c>
      <c r="D143" s="954"/>
      <c r="E143" s="954"/>
      <c r="F143" s="953">
        <v>9900</v>
      </c>
      <c r="G143" s="930" t="s">
        <v>1074</v>
      </c>
      <c r="J143" s="953"/>
      <c r="K143" s="953">
        <v>9900</v>
      </c>
      <c r="M143" s="930">
        <v>38</v>
      </c>
    </row>
    <row r="144" spans="1:13" x14ac:dyDescent="0.25">
      <c r="A144" s="925" t="s">
        <v>1177</v>
      </c>
      <c r="B144" s="926" t="s">
        <v>1178</v>
      </c>
      <c r="C144" s="926">
        <v>509197</v>
      </c>
      <c r="D144" s="954"/>
      <c r="E144" s="954"/>
      <c r="F144" s="953">
        <v>15144</v>
      </c>
      <c r="G144" s="930" t="s">
        <v>1074</v>
      </c>
      <c r="J144" s="953"/>
      <c r="K144" s="953">
        <v>15144</v>
      </c>
      <c r="M144" s="930">
        <v>38</v>
      </c>
    </row>
    <row r="145" spans="1:13" x14ac:dyDescent="0.25">
      <c r="A145" s="925" t="s">
        <v>1179</v>
      </c>
      <c r="B145" s="926" t="s">
        <v>1180</v>
      </c>
      <c r="C145" s="926" t="s">
        <v>1181</v>
      </c>
      <c r="D145" s="954"/>
      <c r="E145" s="954"/>
      <c r="F145" s="953">
        <v>14010</v>
      </c>
      <c r="G145" s="930" t="s">
        <v>1086</v>
      </c>
      <c r="J145" s="953">
        <v>14010</v>
      </c>
      <c r="K145" s="953"/>
      <c r="M145" s="930">
        <v>38</v>
      </c>
    </row>
    <row r="146" spans="1:13" x14ac:dyDescent="0.25">
      <c r="A146" s="925" t="s">
        <v>1182</v>
      </c>
      <c r="B146" s="926" t="s">
        <v>1183</v>
      </c>
      <c r="C146" s="926">
        <v>206117</v>
      </c>
      <c r="D146" s="954"/>
      <c r="E146" s="954"/>
      <c r="F146" s="953">
        <v>18042</v>
      </c>
      <c r="G146" s="930" t="s">
        <v>1074</v>
      </c>
      <c r="J146" s="953"/>
      <c r="K146" s="953">
        <v>18042</v>
      </c>
      <c r="M146" s="930">
        <v>38</v>
      </c>
    </row>
    <row r="147" spans="1:13" x14ac:dyDescent="0.25">
      <c r="A147" s="925" t="s">
        <v>1184</v>
      </c>
      <c r="B147" s="926" t="s">
        <v>1185</v>
      </c>
      <c r="C147" s="926">
        <v>206141</v>
      </c>
      <c r="D147" s="954"/>
      <c r="E147" s="954"/>
      <c r="F147" s="953">
        <v>14370</v>
      </c>
      <c r="G147" s="930" t="s">
        <v>1086</v>
      </c>
      <c r="J147" s="953">
        <v>14370</v>
      </c>
      <c r="K147" s="953"/>
      <c r="M147" s="930">
        <v>38</v>
      </c>
    </row>
    <row r="148" spans="1:13" x14ac:dyDescent="0.25">
      <c r="A148" s="925" t="s">
        <v>1186</v>
      </c>
      <c r="B148" s="926" t="s">
        <v>1187</v>
      </c>
      <c r="C148" s="926" t="s">
        <v>1188</v>
      </c>
      <c r="D148" s="954"/>
      <c r="E148" s="954"/>
      <c r="F148" s="953">
        <v>15750</v>
      </c>
      <c r="G148" s="930" t="s">
        <v>1074</v>
      </c>
      <c r="J148" s="953"/>
      <c r="K148" s="953">
        <v>15750</v>
      </c>
      <c r="M148" s="930">
        <v>38</v>
      </c>
    </row>
    <row r="149" spans="1:13" x14ac:dyDescent="0.25">
      <c r="A149" s="925" t="s">
        <v>1189</v>
      </c>
      <c r="B149" s="926" t="s">
        <v>1190</v>
      </c>
      <c r="C149" s="926">
        <v>258404</v>
      </c>
      <c r="D149" s="954"/>
      <c r="E149" s="954"/>
      <c r="F149" s="953">
        <v>19584</v>
      </c>
      <c r="G149" s="930" t="s">
        <v>1074</v>
      </c>
      <c r="J149" s="953"/>
      <c r="K149" s="953">
        <v>19584</v>
      </c>
      <c r="M149" s="930">
        <v>38</v>
      </c>
    </row>
    <row r="150" spans="1:13" x14ac:dyDescent="0.25">
      <c r="A150" s="925" t="s">
        <v>1191</v>
      </c>
      <c r="B150" s="926" t="s">
        <v>1192</v>
      </c>
      <c r="C150" s="926">
        <v>258405</v>
      </c>
      <c r="D150" s="954"/>
      <c r="E150" s="954"/>
      <c r="F150" s="953">
        <v>18736</v>
      </c>
      <c r="G150" s="930" t="s">
        <v>1074</v>
      </c>
      <c r="J150" s="953"/>
      <c r="K150" s="953">
        <v>18736</v>
      </c>
      <c r="M150" s="930">
        <v>38</v>
      </c>
    </row>
    <row r="151" spans="1:13" x14ac:dyDescent="0.25">
      <c r="A151" s="925" t="s">
        <v>1193</v>
      </c>
      <c r="B151" s="926" t="s">
        <v>1194</v>
      </c>
      <c r="C151" s="926">
        <v>258406</v>
      </c>
      <c r="D151" s="954"/>
      <c r="E151" s="954"/>
      <c r="F151" s="953">
        <v>25074</v>
      </c>
      <c r="G151" s="930" t="s">
        <v>1074</v>
      </c>
      <c r="J151" s="953"/>
      <c r="K151" s="953">
        <v>25074</v>
      </c>
      <c r="M151" s="930">
        <v>38</v>
      </c>
    </row>
    <row r="152" spans="1:13" x14ac:dyDescent="0.25">
      <c r="A152" s="925" t="s">
        <v>1195</v>
      </c>
      <c r="B152" s="926" t="s">
        <v>1196</v>
      </c>
      <c r="C152" s="926">
        <v>206160</v>
      </c>
      <c r="D152" s="954"/>
      <c r="E152" s="954"/>
      <c r="F152" s="953">
        <v>4350</v>
      </c>
      <c r="G152" s="930" t="s">
        <v>1086</v>
      </c>
      <c r="J152" s="953">
        <v>4350</v>
      </c>
      <c r="K152" s="953"/>
      <c r="M152" s="930">
        <v>38</v>
      </c>
    </row>
    <row r="153" spans="1:13" x14ac:dyDescent="0.25">
      <c r="A153" s="925" t="s">
        <v>1197</v>
      </c>
      <c r="B153" s="926" t="s">
        <v>1198</v>
      </c>
      <c r="C153" s="926" t="s">
        <v>1199</v>
      </c>
      <c r="D153" s="954"/>
      <c r="E153" s="954"/>
      <c r="F153" s="953">
        <v>24138</v>
      </c>
      <c r="G153" s="930" t="s">
        <v>1074</v>
      </c>
      <c r="J153" s="953"/>
      <c r="K153" s="953">
        <v>24138</v>
      </c>
      <c r="M153" s="930">
        <v>38</v>
      </c>
    </row>
    <row r="154" spans="1:13" x14ac:dyDescent="0.25">
      <c r="A154" s="888" t="s">
        <v>1200</v>
      </c>
      <c r="B154" s="957"/>
      <c r="C154" s="889" t="s">
        <v>1201</v>
      </c>
      <c r="D154" s="954"/>
      <c r="E154" s="954"/>
      <c r="F154" s="953">
        <v>10500</v>
      </c>
      <c r="G154" s="930" t="s">
        <v>1074</v>
      </c>
      <c r="J154" s="953"/>
      <c r="K154" s="953">
        <v>10500</v>
      </c>
      <c r="M154" s="930">
        <v>38</v>
      </c>
    </row>
    <row r="155" spans="1:13" x14ac:dyDescent="0.25">
      <c r="A155" s="925" t="s">
        <v>1202</v>
      </c>
      <c r="B155" s="926" t="s">
        <v>1203</v>
      </c>
      <c r="C155" s="926" t="s">
        <v>1204</v>
      </c>
      <c r="D155" s="954"/>
      <c r="E155" s="954"/>
      <c r="F155" s="953">
        <v>6078</v>
      </c>
      <c r="G155" s="930" t="s">
        <v>1074</v>
      </c>
      <c r="J155" s="953"/>
      <c r="K155" s="953">
        <v>6078</v>
      </c>
      <c r="M155" s="930">
        <v>38</v>
      </c>
    </row>
    <row r="156" spans="1:13" x14ac:dyDescent="0.25">
      <c r="A156" s="925" t="s">
        <v>1205</v>
      </c>
      <c r="B156" s="926" t="s">
        <v>1206</v>
      </c>
      <c r="C156" s="926">
        <v>206146</v>
      </c>
      <c r="D156" s="954"/>
      <c r="E156" s="954"/>
      <c r="F156" s="953">
        <v>24438</v>
      </c>
      <c r="G156" s="930" t="s">
        <v>1086</v>
      </c>
      <c r="J156" s="953">
        <v>24438</v>
      </c>
      <c r="K156" s="953"/>
      <c r="M156" s="930">
        <v>38</v>
      </c>
    </row>
    <row r="157" spans="1:13" x14ac:dyDescent="0.25">
      <c r="A157" s="888" t="s">
        <v>1207</v>
      </c>
      <c r="B157" s="957"/>
      <c r="C157" s="970" t="s">
        <v>1208</v>
      </c>
      <c r="D157" s="954"/>
      <c r="E157" s="954"/>
      <c r="F157" s="953">
        <v>6960</v>
      </c>
      <c r="G157" s="930" t="s">
        <v>1074</v>
      </c>
      <c r="J157" s="953"/>
      <c r="K157" s="953">
        <v>6960</v>
      </c>
      <c r="M157" s="930">
        <v>38</v>
      </c>
    </row>
    <row r="158" spans="1:13" x14ac:dyDescent="0.25">
      <c r="A158" s="925" t="s">
        <v>1209</v>
      </c>
      <c r="B158" s="926" t="s">
        <v>1210</v>
      </c>
      <c r="C158" s="926" t="s">
        <v>1211</v>
      </c>
      <c r="D158" s="954"/>
      <c r="E158" s="954"/>
      <c r="F158" s="953">
        <v>14196</v>
      </c>
      <c r="G158" s="930" t="s">
        <v>1074</v>
      </c>
      <c r="J158" s="953"/>
      <c r="K158" s="953">
        <v>14196</v>
      </c>
      <c r="M158" s="930">
        <v>38</v>
      </c>
    </row>
    <row r="159" spans="1:13" x14ac:dyDescent="0.25">
      <c r="A159" s="925" t="s">
        <v>1212</v>
      </c>
      <c r="B159" s="926" t="s">
        <v>1213</v>
      </c>
      <c r="C159" s="926" t="s">
        <v>1214</v>
      </c>
      <c r="D159" s="954"/>
      <c r="E159" s="954"/>
      <c r="F159" s="953">
        <v>14000</v>
      </c>
      <c r="G159" s="930" t="s">
        <v>1074</v>
      </c>
      <c r="J159" s="953"/>
      <c r="K159" s="953">
        <v>14000</v>
      </c>
      <c r="M159" s="930">
        <v>38</v>
      </c>
    </row>
    <row r="160" spans="1:13" x14ac:dyDescent="0.25">
      <c r="A160" s="888" t="s">
        <v>1215</v>
      </c>
      <c r="B160" s="957"/>
      <c r="C160" s="970" t="s">
        <v>1216</v>
      </c>
      <c r="D160" s="954"/>
      <c r="E160" s="954"/>
      <c r="F160" s="953">
        <v>21900</v>
      </c>
      <c r="G160" s="930" t="s">
        <v>1074</v>
      </c>
      <c r="J160" s="953"/>
      <c r="K160" s="953">
        <v>21900</v>
      </c>
      <c r="M160" s="930">
        <v>38</v>
      </c>
    </row>
    <row r="161" spans="1:13" x14ac:dyDescent="0.25">
      <c r="A161" s="925" t="s">
        <v>1217</v>
      </c>
      <c r="B161" s="926" t="s">
        <v>1218</v>
      </c>
      <c r="C161" s="926">
        <v>113044</v>
      </c>
      <c r="D161" s="954"/>
      <c r="E161" s="954"/>
      <c r="F161" s="953">
        <v>9310</v>
      </c>
      <c r="G161" s="930" t="s">
        <v>1086</v>
      </c>
      <c r="J161" s="953">
        <v>9310</v>
      </c>
      <c r="K161" s="953"/>
      <c r="M161" s="930">
        <v>38</v>
      </c>
    </row>
    <row r="162" spans="1:13" x14ac:dyDescent="0.25">
      <c r="A162" s="925" t="s">
        <v>1219</v>
      </c>
      <c r="B162" s="926" t="s">
        <v>1220</v>
      </c>
      <c r="C162" s="926" t="s">
        <v>1221</v>
      </c>
      <c r="D162" s="954"/>
      <c r="E162" s="954"/>
      <c r="F162" s="953">
        <v>14730</v>
      </c>
      <c r="G162" s="930" t="s">
        <v>1074</v>
      </c>
      <c r="J162" s="953"/>
      <c r="K162" s="953">
        <v>14730</v>
      </c>
      <c r="M162" s="930">
        <v>38</v>
      </c>
    </row>
    <row r="163" spans="1:13" x14ac:dyDescent="0.25">
      <c r="A163" s="925" t="s">
        <v>1222</v>
      </c>
      <c r="B163" s="926" t="s">
        <v>1223</v>
      </c>
      <c r="C163" s="926" t="s">
        <v>1224</v>
      </c>
      <c r="D163" s="954"/>
      <c r="E163" s="954"/>
      <c r="F163" s="953">
        <v>6507</v>
      </c>
      <c r="G163" s="930" t="s">
        <v>1086</v>
      </c>
      <c r="J163" s="953">
        <v>6507</v>
      </c>
      <c r="K163" s="953"/>
      <c r="M163" s="930">
        <v>38</v>
      </c>
    </row>
    <row r="164" spans="1:13" x14ac:dyDescent="0.25">
      <c r="A164" s="925" t="s">
        <v>1225</v>
      </c>
      <c r="B164" s="926" t="s">
        <v>1226</v>
      </c>
      <c r="C164" s="926" t="s">
        <v>1227</v>
      </c>
      <c r="D164" s="954"/>
      <c r="E164" s="954"/>
      <c r="F164" s="953">
        <v>13200</v>
      </c>
      <c r="G164" s="930" t="s">
        <v>1074</v>
      </c>
      <c r="J164" s="953"/>
      <c r="K164" s="953">
        <v>13200</v>
      </c>
      <c r="M164" s="930">
        <v>38</v>
      </c>
    </row>
    <row r="165" spans="1:13" x14ac:dyDescent="0.25">
      <c r="A165" s="925" t="s">
        <v>1228</v>
      </c>
      <c r="B165" s="926" t="s">
        <v>1229</v>
      </c>
      <c r="C165" s="926" t="s">
        <v>1230</v>
      </c>
      <c r="D165" s="954"/>
      <c r="E165" s="954"/>
      <c r="F165" s="953">
        <v>17508</v>
      </c>
      <c r="G165" s="930" t="s">
        <v>1074</v>
      </c>
      <c r="J165" s="953"/>
      <c r="K165" s="953">
        <v>17508</v>
      </c>
      <c r="M165" s="930">
        <v>38</v>
      </c>
    </row>
    <row r="166" spans="1:13" x14ac:dyDescent="0.25">
      <c r="A166" s="971" t="s">
        <v>1231</v>
      </c>
      <c r="B166" s="972"/>
      <c r="C166" s="972" t="s">
        <v>1232</v>
      </c>
      <c r="D166" s="954"/>
      <c r="E166" s="954"/>
      <c r="F166" s="953">
        <v>2500</v>
      </c>
      <c r="G166" s="930" t="s">
        <v>1074</v>
      </c>
      <c r="J166" s="953"/>
      <c r="K166" s="953">
        <v>2500</v>
      </c>
      <c r="M166" s="930">
        <v>38</v>
      </c>
    </row>
    <row r="167" spans="1:13" x14ac:dyDescent="0.25">
      <c r="A167" s="925" t="s">
        <v>1233</v>
      </c>
      <c r="B167" s="926" t="s">
        <v>1234</v>
      </c>
      <c r="C167" s="926">
        <v>206152</v>
      </c>
      <c r="D167" s="954"/>
      <c r="E167" s="954"/>
      <c r="F167" s="953">
        <v>20088</v>
      </c>
      <c r="G167" s="930" t="s">
        <v>1086</v>
      </c>
      <c r="J167" s="953">
        <v>20088</v>
      </c>
      <c r="K167" s="953"/>
      <c r="M167" s="930">
        <v>38</v>
      </c>
    </row>
    <row r="168" spans="1:13" x14ac:dyDescent="0.25">
      <c r="A168" s="925" t="s">
        <v>1235</v>
      </c>
      <c r="B168" s="926" t="s">
        <v>1236</v>
      </c>
      <c r="C168" s="926">
        <v>206153</v>
      </c>
      <c r="D168" s="954"/>
      <c r="E168" s="954"/>
      <c r="F168" s="953">
        <v>10128</v>
      </c>
      <c r="G168" s="930" t="s">
        <v>1086</v>
      </c>
      <c r="J168" s="953">
        <v>10128</v>
      </c>
      <c r="K168" s="953"/>
      <c r="M168" s="930">
        <v>38</v>
      </c>
    </row>
    <row r="169" spans="1:13" x14ac:dyDescent="0.25">
      <c r="A169" s="973" t="s">
        <v>1237</v>
      </c>
      <c r="B169" s="926" t="s">
        <v>1238</v>
      </c>
      <c r="C169" s="926">
        <v>206154</v>
      </c>
      <c r="D169" s="954"/>
      <c r="E169" s="954"/>
      <c r="F169" s="953">
        <v>22302</v>
      </c>
      <c r="G169" s="930" t="s">
        <v>1086</v>
      </c>
      <c r="J169" s="953">
        <v>22302</v>
      </c>
      <c r="K169" s="953"/>
      <c r="M169" s="930">
        <v>38</v>
      </c>
    </row>
    <row r="170" spans="1:13" x14ac:dyDescent="0.25">
      <c r="A170" s="888" t="s">
        <v>1239</v>
      </c>
      <c r="B170" s="957"/>
      <c r="C170" s="889" t="s">
        <v>1240</v>
      </c>
      <c r="D170" s="954"/>
      <c r="E170" s="954"/>
      <c r="F170" s="953">
        <v>6420</v>
      </c>
      <c r="G170" s="930" t="s">
        <v>1086</v>
      </c>
      <c r="J170" s="953">
        <v>6420</v>
      </c>
      <c r="K170" s="953"/>
      <c r="M170" s="930">
        <v>38</v>
      </c>
    </row>
    <row r="171" spans="1:13" x14ac:dyDescent="0.25">
      <c r="A171" s="925" t="s">
        <v>1241</v>
      </c>
      <c r="B171" s="926" t="s">
        <v>1242</v>
      </c>
      <c r="C171" s="926" t="s">
        <v>1243</v>
      </c>
      <c r="D171" s="954"/>
      <c r="E171" s="954"/>
      <c r="F171" s="953">
        <v>22998</v>
      </c>
      <c r="G171" s="930" t="s">
        <v>1074</v>
      </c>
      <c r="J171" s="953"/>
      <c r="K171" s="953">
        <v>22998</v>
      </c>
      <c r="M171" s="930">
        <v>38</v>
      </c>
    </row>
    <row r="172" spans="1:13" x14ac:dyDescent="0.25">
      <c r="A172" s="926" t="s">
        <v>1244</v>
      </c>
      <c r="B172" s="926" t="s">
        <v>1245</v>
      </c>
      <c r="C172" s="926" t="s">
        <v>1246</v>
      </c>
      <c r="D172" s="954"/>
      <c r="E172" s="954"/>
      <c r="F172" s="953">
        <v>13212</v>
      </c>
      <c r="G172" s="930" t="s">
        <v>1074</v>
      </c>
      <c r="J172" s="953"/>
      <c r="K172" s="953">
        <v>13212</v>
      </c>
      <c r="M172" s="930">
        <v>38</v>
      </c>
    </row>
    <row r="173" spans="1:13" x14ac:dyDescent="0.25">
      <c r="A173" s="926" t="s">
        <v>1247</v>
      </c>
      <c r="B173" s="926" t="s">
        <v>1245</v>
      </c>
      <c r="C173" s="926">
        <v>206103</v>
      </c>
      <c r="D173" s="954"/>
      <c r="E173" s="954"/>
      <c r="F173" s="953">
        <v>19338</v>
      </c>
      <c r="G173" s="930" t="s">
        <v>1074</v>
      </c>
      <c r="J173" s="953"/>
      <c r="K173" s="953">
        <v>19338</v>
      </c>
      <c r="M173" s="930">
        <v>38</v>
      </c>
    </row>
    <row r="174" spans="1:13" x14ac:dyDescent="0.25">
      <c r="A174" s="926" t="s">
        <v>1248</v>
      </c>
      <c r="B174" s="926" t="s">
        <v>1249</v>
      </c>
      <c r="C174" s="926" t="s">
        <v>1250</v>
      </c>
      <c r="D174" s="954"/>
      <c r="E174" s="954"/>
      <c r="F174" s="953">
        <v>3570</v>
      </c>
      <c r="G174" s="930" t="s">
        <v>1074</v>
      </c>
      <c r="J174" s="953"/>
      <c r="K174" s="953">
        <v>3570</v>
      </c>
      <c r="M174" s="930">
        <v>38</v>
      </c>
    </row>
    <row r="175" spans="1:13" x14ac:dyDescent="0.25">
      <c r="A175" s="926" t="s">
        <v>1251</v>
      </c>
      <c r="B175" s="926" t="s">
        <v>1252</v>
      </c>
      <c r="C175" s="926" t="s">
        <v>1253</v>
      </c>
      <c r="D175" s="954"/>
      <c r="E175" s="954"/>
      <c r="F175" s="953">
        <v>15540</v>
      </c>
      <c r="G175" s="930" t="s">
        <v>1074</v>
      </c>
      <c r="J175" s="953"/>
      <c r="K175" s="953">
        <v>15540</v>
      </c>
      <c r="M175" s="930">
        <v>38</v>
      </c>
    </row>
    <row r="176" spans="1:13" x14ac:dyDescent="0.25">
      <c r="A176" s="926" t="s">
        <v>1254</v>
      </c>
      <c r="B176" s="926" t="s">
        <v>1255</v>
      </c>
      <c r="C176" s="926">
        <v>258420</v>
      </c>
      <c r="D176" s="954"/>
      <c r="E176" s="954"/>
      <c r="F176" s="953">
        <v>10908</v>
      </c>
      <c r="G176" s="930" t="s">
        <v>1074</v>
      </c>
      <c r="J176" s="953"/>
      <c r="K176" s="953">
        <v>10908</v>
      </c>
      <c r="M176" s="930">
        <v>38</v>
      </c>
    </row>
    <row r="177" spans="1:15" x14ac:dyDescent="0.25">
      <c r="A177" s="926" t="s">
        <v>1256</v>
      </c>
      <c r="B177" s="926" t="s">
        <v>1257</v>
      </c>
      <c r="C177" s="926">
        <v>258424</v>
      </c>
      <c r="D177" s="954"/>
      <c r="E177" s="954"/>
      <c r="F177" s="953">
        <v>21618</v>
      </c>
      <c r="G177" s="930" t="s">
        <v>1074</v>
      </c>
      <c r="J177" s="953"/>
      <c r="K177" s="953">
        <v>21618</v>
      </c>
      <c r="M177" s="930">
        <v>38</v>
      </c>
    </row>
    <row r="178" spans="1:15" x14ac:dyDescent="0.25">
      <c r="A178" s="957" t="s">
        <v>1258</v>
      </c>
      <c r="B178" s="957" t="s">
        <v>1259</v>
      </c>
      <c r="C178" s="880" t="s">
        <v>1260</v>
      </c>
      <c r="D178" s="954"/>
      <c r="E178" s="954"/>
      <c r="F178" s="953">
        <v>11958</v>
      </c>
      <c r="G178" s="930" t="s">
        <v>1086</v>
      </c>
      <c r="J178" s="953">
        <v>11958</v>
      </c>
      <c r="K178" s="953"/>
      <c r="M178" s="930">
        <v>38</v>
      </c>
    </row>
    <row r="179" spans="1:15" x14ac:dyDescent="0.25">
      <c r="A179" s="974" t="s">
        <v>1261</v>
      </c>
      <c r="B179" s="957"/>
      <c r="C179" s="975" t="s">
        <v>1262</v>
      </c>
      <c r="D179" s="954"/>
      <c r="E179" s="954"/>
      <c r="F179" s="953">
        <v>34000</v>
      </c>
      <c r="G179" s="930" t="s">
        <v>1074</v>
      </c>
      <c r="J179" s="953"/>
      <c r="K179" s="953">
        <v>34000</v>
      </c>
      <c r="M179" s="930">
        <v>38</v>
      </c>
    </row>
    <row r="180" spans="1:15" x14ac:dyDescent="0.25">
      <c r="A180" s="976" t="s">
        <v>1263</v>
      </c>
      <c r="B180" s="977" t="s">
        <v>1264</v>
      </c>
      <c r="C180" s="977" t="s">
        <v>1264</v>
      </c>
      <c r="D180" s="954"/>
      <c r="E180" s="954"/>
      <c r="F180" s="953">
        <v>11000</v>
      </c>
      <c r="G180" s="930" t="s">
        <v>1074</v>
      </c>
      <c r="J180" s="953"/>
      <c r="K180" s="953">
        <v>11000</v>
      </c>
      <c r="M180" s="930">
        <v>38</v>
      </c>
    </row>
    <row r="181" spans="1:15" x14ac:dyDescent="0.25">
      <c r="A181" s="925" t="s">
        <v>1265</v>
      </c>
      <c r="B181" s="926" t="s">
        <v>1266</v>
      </c>
      <c r="C181" s="926">
        <v>509204</v>
      </c>
      <c r="D181" s="954"/>
      <c r="E181" s="954"/>
      <c r="F181" s="953">
        <v>25194</v>
      </c>
      <c r="G181" s="930" t="s">
        <v>1074</v>
      </c>
      <c r="J181" s="953"/>
      <c r="K181" s="953">
        <v>25194</v>
      </c>
      <c r="M181" s="930">
        <v>38</v>
      </c>
    </row>
    <row r="182" spans="1:15" x14ac:dyDescent="0.25">
      <c r="A182" s="925" t="s">
        <v>1309</v>
      </c>
      <c r="B182" s="926"/>
      <c r="C182" s="926"/>
      <c r="D182" s="954"/>
      <c r="E182" s="954"/>
      <c r="F182" s="953"/>
      <c r="M182" s="930">
        <v>38</v>
      </c>
    </row>
    <row r="183" spans="1:15" x14ac:dyDescent="0.25">
      <c r="C183" s="891" t="s">
        <v>1270</v>
      </c>
      <c r="F183" s="978">
        <v>1027686.8947368421</v>
      </c>
      <c r="H183" s="978">
        <v>0</v>
      </c>
      <c r="I183" s="978">
        <v>0</v>
      </c>
      <c r="J183" s="978">
        <v>321560</v>
      </c>
      <c r="K183" s="978">
        <v>706126.89473684214</v>
      </c>
      <c r="L183" s="978">
        <v>0</v>
      </c>
      <c r="M183" s="930">
        <v>38</v>
      </c>
    </row>
    <row r="185" spans="1:15" x14ac:dyDescent="0.25">
      <c r="C185" s="930" t="s">
        <v>144</v>
      </c>
      <c r="D185" s="979">
        <v>62890</v>
      </c>
      <c r="E185" s="979">
        <v>1886700</v>
      </c>
      <c r="F185" s="979">
        <v>2461902.8947368423</v>
      </c>
      <c r="G185" s="979">
        <v>0</v>
      </c>
      <c r="H185" s="979">
        <v>1130070</v>
      </c>
      <c r="I185" s="979">
        <v>304146</v>
      </c>
      <c r="J185" s="979">
        <v>321560</v>
      </c>
      <c r="K185" s="979">
        <v>706126.89473684214</v>
      </c>
      <c r="L185" s="979">
        <v>0</v>
      </c>
      <c r="M185" s="930">
        <v>38</v>
      </c>
      <c r="O185" s="979">
        <v>8</v>
      </c>
    </row>
    <row r="186" spans="1:15" x14ac:dyDescent="0.25">
      <c r="J186" s="953"/>
    </row>
  </sheetData>
  <sheetProtection password="EF5C" sheet="1" objects="1" scenarios="1"/>
  <pageMargins left="0.23622047244094491" right="0.23622047244094491" top="0.74803149606299213" bottom="0.74803149606299213" header="0.31496062992125984" footer="0.31496062992125984"/>
  <pageSetup paperSize="9" scale="6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W192"/>
  <sheetViews>
    <sheetView workbookViewId="0">
      <pane xSplit="1" ySplit="2" topLeftCell="Y174" activePane="bottomRight" state="frozen"/>
      <selection sqref="A1:XFD1048576"/>
      <selection pane="topRight" sqref="A1:XFD1048576"/>
      <selection pane="bottomLeft" sqref="A1:XFD1048576"/>
      <selection pane="bottomRight" activeCell="AO183" sqref="AO183"/>
    </sheetView>
  </sheetViews>
  <sheetFormatPr defaultRowHeight="15" x14ac:dyDescent="0.25"/>
  <cols>
    <col min="1" max="1" width="38" style="930" customWidth="1"/>
    <col min="2" max="2" width="9.140625" style="930"/>
    <col min="3" max="3" width="10.5703125" style="930" customWidth="1"/>
    <col min="4" max="5" width="9.140625" style="930"/>
    <col min="6" max="6" width="11.5703125" style="930" bestFit="1" customWidth="1"/>
    <col min="7" max="7" width="8.140625" style="930" customWidth="1"/>
    <col min="8" max="8" width="15.28515625" style="930" customWidth="1"/>
    <col min="9" max="9" width="13.42578125" style="979" customWidth="1"/>
    <col min="10" max="10" width="1.28515625" style="930" customWidth="1"/>
    <col min="11" max="11" width="17.28515625" style="930" bestFit="1" customWidth="1"/>
    <col min="12" max="12" width="11.28515625" style="930" bestFit="1" customWidth="1"/>
    <col min="13" max="13" width="12.85546875" style="987" customWidth="1"/>
    <col min="14" max="14" width="1.42578125" style="930" customWidth="1"/>
    <col min="15" max="15" width="9.85546875" style="987" bestFit="1" customWidth="1"/>
    <col min="16" max="16" width="1.5703125" style="930" customWidth="1"/>
    <col min="17" max="17" width="12.42578125" style="930" customWidth="1"/>
    <col min="18" max="18" width="9.140625" style="930"/>
    <col min="19" max="19" width="17.140625" style="987" customWidth="1"/>
    <col min="20" max="20" width="2.140625" style="930" customWidth="1"/>
    <col min="21" max="22" width="9.140625" style="930"/>
    <col min="23" max="23" width="9.140625" style="987"/>
    <col min="24" max="24" width="1.5703125" style="930" customWidth="1"/>
    <col min="25" max="25" width="9.140625" style="987" customWidth="1"/>
    <col min="26" max="26" width="1.5703125" style="930" customWidth="1"/>
    <col min="27" max="27" width="9.140625" style="987"/>
    <col min="28" max="28" width="1.5703125" style="988" customWidth="1"/>
    <col min="29" max="29" width="9.140625" style="987"/>
    <col min="30" max="30" width="1.5703125" style="930" customWidth="1"/>
    <col min="31" max="31" width="9.140625" style="987"/>
    <col min="32" max="32" width="2" style="930" customWidth="1"/>
    <col min="33" max="33" width="8.85546875" style="987" customWidth="1"/>
    <col min="34" max="34" width="2.5703125" style="988" customWidth="1"/>
    <col min="35" max="35" width="11.42578125" style="987" customWidth="1"/>
    <col min="36" max="36" width="5.28515625" style="989" customWidth="1"/>
    <col min="37" max="37" width="10.5703125" style="987" customWidth="1"/>
    <col min="38" max="38" width="5.28515625" style="989" customWidth="1"/>
    <col min="39" max="39" width="12.28515625" style="987" customWidth="1"/>
    <col min="40" max="40" width="2" style="930" customWidth="1"/>
    <col min="41" max="41" width="10.28515625" style="990" customWidth="1"/>
    <col min="42" max="42" width="2.7109375" style="930" customWidth="1"/>
    <col min="43" max="43" width="10.140625" style="930" bestFit="1" customWidth="1"/>
    <col min="44" max="44" width="2" style="930" customWidth="1"/>
    <col min="45" max="45" width="11.5703125" style="930" customWidth="1"/>
    <col min="46" max="46" width="11.7109375" style="930" bestFit="1" customWidth="1"/>
    <col min="47" max="16384" width="9.140625" style="930"/>
  </cols>
  <sheetData>
    <row r="2" spans="1:49" s="923" customFormat="1" ht="75" x14ac:dyDescent="0.25">
      <c r="A2" s="921" t="s">
        <v>1297</v>
      </c>
      <c r="B2" s="921" t="s">
        <v>1298</v>
      </c>
      <c r="C2" s="921" t="s">
        <v>1299</v>
      </c>
      <c r="D2" s="921" t="s">
        <v>1300</v>
      </c>
      <c r="E2" s="921" t="s">
        <v>1301</v>
      </c>
      <c r="F2" s="922" t="s">
        <v>1302</v>
      </c>
      <c r="H2" s="980" t="s">
        <v>1306</v>
      </c>
      <c r="I2" s="981" t="s">
        <v>1310</v>
      </c>
      <c r="K2" s="923" t="s">
        <v>1311</v>
      </c>
      <c r="L2" s="923" t="s">
        <v>1306</v>
      </c>
      <c r="M2" s="982" t="s">
        <v>1312</v>
      </c>
      <c r="O2" s="983" t="s">
        <v>784</v>
      </c>
      <c r="Q2" s="924" t="s">
        <v>1313</v>
      </c>
      <c r="R2" s="924" t="s">
        <v>1306</v>
      </c>
      <c r="S2" s="982" t="s">
        <v>1314</v>
      </c>
      <c r="U2" s="924" t="s">
        <v>1315</v>
      </c>
      <c r="V2" s="924" t="s">
        <v>1316</v>
      </c>
      <c r="W2" s="982" t="s">
        <v>1317</v>
      </c>
      <c r="X2" s="924"/>
      <c r="Y2" s="982" t="s">
        <v>1318</v>
      </c>
      <c r="Z2" s="924"/>
      <c r="AA2" s="982" t="s">
        <v>636</v>
      </c>
      <c r="AB2" s="984"/>
      <c r="AC2" s="982" t="s">
        <v>794</v>
      </c>
      <c r="AD2" s="924"/>
      <c r="AE2" s="982" t="s">
        <v>639</v>
      </c>
      <c r="AF2" s="924"/>
      <c r="AG2" s="982" t="s">
        <v>1033</v>
      </c>
      <c r="AH2" s="984"/>
      <c r="AI2" s="982" t="s">
        <v>1319</v>
      </c>
      <c r="AJ2" s="985"/>
      <c r="AK2" s="982" t="s">
        <v>972</v>
      </c>
      <c r="AL2" s="985"/>
      <c r="AM2" s="982" t="s">
        <v>1021</v>
      </c>
      <c r="AN2" s="924"/>
      <c r="AO2" s="986" t="s">
        <v>1320</v>
      </c>
      <c r="AP2" s="924"/>
      <c r="AQ2" s="924" t="s">
        <v>1321</v>
      </c>
      <c r="AS2" s="924" t="s">
        <v>1322</v>
      </c>
      <c r="AT2" s="924" t="s">
        <v>1027</v>
      </c>
      <c r="AU2" s="924" t="s">
        <v>1323</v>
      </c>
      <c r="AV2" s="924" t="s">
        <v>1324</v>
      </c>
      <c r="AW2" s="924" t="s">
        <v>1325</v>
      </c>
    </row>
    <row r="3" spans="1:49" x14ac:dyDescent="0.25">
      <c r="A3" s="925"/>
      <c r="B3" s="926"/>
      <c r="C3" s="926"/>
      <c r="D3" s="927"/>
      <c r="E3" s="928"/>
      <c r="F3" s="929"/>
    </row>
    <row r="4" spans="1:49" x14ac:dyDescent="0.25">
      <c r="A4" s="925" t="s">
        <v>1306</v>
      </c>
      <c r="B4" s="926"/>
      <c r="C4" s="926"/>
      <c r="D4" s="927"/>
      <c r="E4" s="927"/>
      <c r="F4" s="929"/>
      <c r="AK4" s="987">
        <v>73687</v>
      </c>
      <c r="AM4" s="987">
        <v>-73687</v>
      </c>
    </row>
    <row r="5" spans="1:49" x14ac:dyDescent="0.25">
      <c r="A5" s="925"/>
      <c r="B5" s="926"/>
      <c r="C5" s="926"/>
      <c r="D5" s="927"/>
      <c r="E5" s="927"/>
      <c r="F5" s="929"/>
    </row>
    <row r="6" spans="1:49" x14ac:dyDescent="0.25">
      <c r="A6" s="931" t="s">
        <v>1307</v>
      </c>
      <c r="B6" s="932"/>
      <c r="C6" s="932"/>
      <c r="D6" s="933"/>
      <c r="E6" s="934"/>
      <c r="F6" s="935"/>
      <c r="G6" s="936">
        <v>0</v>
      </c>
      <c r="H6" s="936"/>
      <c r="I6" s="991"/>
      <c r="J6" s="936">
        <v>0</v>
      </c>
      <c r="K6" s="936"/>
      <c r="L6" s="936"/>
      <c r="M6" s="992"/>
      <c r="N6" s="936"/>
      <c r="O6" s="992"/>
      <c r="P6" s="936"/>
      <c r="Q6" s="936"/>
      <c r="R6" s="936"/>
      <c r="S6" s="992"/>
      <c r="T6" s="936"/>
      <c r="U6" s="936"/>
      <c r="V6" s="936"/>
      <c r="W6" s="992"/>
      <c r="X6" s="936"/>
      <c r="Y6" s="992"/>
      <c r="Z6" s="936"/>
    </row>
    <row r="7" spans="1:49" x14ac:dyDescent="0.25">
      <c r="A7" s="931"/>
      <c r="B7" s="932"/>
      <c r="C7" s="932"/>
      <c r="D7" s="937"/>
      <c r="E7" s="934"/>
      <c r="F7" s="935"/>
      <c r="G7" s="936"/>
      <c r="H7" s="936"/>
      <c r="I7" s="991"/>
      <c r="J7" s="936"/>
      <c r="K7" s="936"/>
      <c r="L7" s="936"/>
      <c r="M7" s="992"/>
      <c r="N7" s="936"/>
      <c r="O7" s="992"/>
      <c r="P7" s="936"/>
      <c r="Q7" s="936"/>
      <c r="R7" s="936"/>
      <c r="S7" s="992"/>
      <c r="T7" s="936"/>
      <c r="U7" s="936"/>
      <c r="V7" s="936"/>
      <c r="W7" s="992"/>
      <c r="X7" s="936"/>
      <c r="Y7" s="992"/>
      <c r="Z7" s="936"/>
    </row>
    <row r="8" spans="1:49" x14ac:dyDescent="0.25">
      <c r="A8" s="925" t="s">
        <v>304</v>
      </c>
      <c r="B8" s="926" t="s">
        <v>800</v>
      </c>
      <c r="C8" s="926">
        <v>1014</v>
      </c>
      <c r="D8" s="938">
        <v>1520</v>
      </c>
      <c r="E8" s="939">
        <v>45600</v>
      </c>
      <c r="F8" s="993">
        <v>30330</v>
      </c>
      <c r="G8" s="930" t="s">
        <v>1078</v>
      </c>
      <c r="H8" s="897">
        <v>5.5246000000000004</v>
      </c>
      <c r="I8" s="979">
        <v>167561.11800000002</v>
      </c>
      <c r="K8" s="953">
        <v>1131.7894736842104</v>
      </c>
      <c r="L8" s="930">
        <v>0.2036</v>
      </c>
      <c r="M8" s="994">
        <v>8756.4287999999979</v>
      </c>
      <c r="O8" s="987">
        <v>100000</v>
      </c>
      <c r="Q8" s="953">
        <v>63.94736842105263</v>
      </c>
      <c r="R8" s="930">
        <v>1.7611399999999999</v>
      </c>
      <c r="S8" s="994">
        <v>4279.5702000000001</v>
      </c>
      <c r="U8" s="953">
        <v>99.15789473684211</v>
      </c>
      <c r="V8" s="930">
        <v>0.2036</v>
      </c>
      <c r="W8" s="994">
        <v>767.16480000000013</v>
      </c>
      <c r="X8" s="995"/>
      <c r="Y8" s="996">
        <v>0</v>
      </c>
      <c r="Z8" s="995"/>
      <c r="AA8" s="987">
        <v>0</v>
      </c>
      <c r="AC8" s="987">
        <v>0</v>
      </c>
      <c r="AE8" s="979">
        <v>6809.9443200000005</v>
      </c>
      <c r="AF8" s="953"/>
      <c r="AG8" s="979"/>
      <c r="AH8" s="997"/>
      <c r="AI8" s="979">
        <v>-13842</v>
      </c>
      <c r="AJ8" s="998"/>
      <c r="AK8" s="979">
        <v>1558.2915753275656</v>
      </c>
      <c r="AL8" s="998"/>
      <c r="AM8" s="979">
        <v>-1558.2915753275656</v>
      </c>
      <c r="AN8" s="953"/>
      <c r="AO8" s="999">
        <v>274332.22612000006</v>
      </c>
      <c r="AP8" s="953"/>
      <c r="AQ8" s="953">
        <v>306841.09899678209</v>
      </c>
      <c r="AS8" s="953">
        <v>-32508.872876782028</v>
      </c>
      <c r="AU8" s="953">
        <v>31698</v>
      </c>
      <c r="AV8" s="940">
        <v>30330</v>
      </c>
      <c r="AW8" s="940">
        <v>-1368</v>
      </c>
    </row>
    <row r="9" spans="1:49" x14ac:dyDescent="0.25">
      <c r="A9" s="925" t="s">
        <v>305</v>
      </c>
      <c r="B9" s="926" t="s">
        <v>802</v>
      </c>
      <c r="C9" s="926">
        <v>1017</v>
      </c>
      <c r="D9" s="938">
        <v>1520</v>
      </c>
      <c r="E9" s="939">
        <v>45600</v>
      </c>
      <c r="F9" s="993">
        <v>13356</v>
      </c>
      <c r="G9" s="930" t="s">
        <v>1078</v>
      </c>
      <c r="H9" s="897">
        <v>5.5246000000000004</v>
      </c>
      <c r="I9" s="979">
        <v>73786.5576</v>
      </c>
      <c r="K9" s="953">
        <v>776.36842105263167</v>
      </c>
      <c r="L9" s="930">
        <v>0.2036</v>
      </c>
      <c r="M9" s="994">
        <v>6006.6072000000004</v>
      </c>
      <c r="O9" s="987">
        <v>100000</v>
      </c>
      <c r="Q9" s="953">
        <v>30</v>
      </c>
      <c r="R9" s="930">
        <v>1.7611399999999999</v>
      </c>
      <c r="S9" s="994">
        <v>2007.6995999999999</v>
      </c>
      <c r="U9" s="953">
        <v>158.36842105263159</v>
      </c>
      <c r="V9" s="930">
        <v>0.2036</v>
      </c>
      <c r="W9" s="994">
        <v>1225.2648000000002</v>
      </c>
      <c r="X9" s="995"/>
      <c r="Y9" s="996">
        <v>0</v>
      </c>
      <c r="Z9" s="995"/>
      <c r="AA9" s="987">
        <v>0</v>
      </c>
      <c r="AC9" s="987">
        <v>0</v>
      </c>
      <c r="AE9" s="979">
        <v>4450.1862600000004</v>
      </c>
      <c r="AF9" s="953"/>
      <c r="AG9" s="979">
        <v>6882</v>
      </c>
      <c r="AH9" s="997"/>
      <c r="AI9" s="979">
        <v>-40806</v>
      </c>
      <c r="AJ9" s="998"/>
      <c r="AK9" s="979">
        <v>686.20317441724262</v>
      </c>
      <c r="AL9" s="998"/>
      <c r="AM9" s="979">
        <v>-686.20317441724262</v>
      </c>
      <c r="AN9" s="953"/>
      <c r="AO9" s="999">
        <v>153552.31545999998</v>
      </c>
      <c r="AP9" s="953"/>
      <c r="AQ9" s="953">
        <v>223663.09902244748</v>
      </c>
      <c r="AS9" s="953">
        <v>-70110.783562447497</v>
      </c>
      <c r="AU9" s="953">
        <v>16572</v>
      </c>
      <c r="AV9" s="940">
        <v>13356</v>
      </c>
      <c r="AW9" s="940">
        <v>-3216</v>
      </c>
    </row>
    <row r="10" spans="1:49" x14ac:dyDescent="0.25">
      <c r="A10" s="925" t="s">
        <v>306</v>
      </c>
      <c r="B10" s="926" t="s">
        <v>803</v>
      </c>
      <c r="C10" s="926">
        <v>1006</v>
      </c>
      <c r="D10" s="938">
        <v>1976</v>
      </c>
      <c r="E10" s="939">
        <v>59280</v>
      </c>
      <c r="F10" s="993">
        <v>38994</v>
      </c>
      <c r="G10" s="930" t="s">
        <v>1078</v>
      </c>
      <c r="H10" s="897">
        <v>5.5246000000000004</v>
      </c>
      <c r="I10" s="979">
        <v>215426.25240000003</v>
      </c>
      <c r="K10" s="953">
        <v>1418.3684210526317</v>
      </c>
      <c r="L10" s="930">
        <v>0.2036</v>
      </c>
      <c r="M10" s="994">
        <v>10973.632800000001</v>
      </c>
      <c r="O10" s="987">
        <v>100000</v>
      </c>
      <c r="Q10" s="953">
        <v>24.473684210526315</v>
      </c>
      <c r="R10" s="930">
        <v>1.7611399999999999</v>
      </c>
      <c r="S10" s="994">
        <v>1637.8601999999998</v>
      </c>
      <c r="U10" s="953">
        <v>161.05263157894737</v>
      </c>
      <c r="V10" s="930">
        <v>0.2036</v>
      </c>
      <c r="W10" s="994">
        <v>1246.0320000000002</v>
      </c>
      <c r="X10" s="995"/>
      <c r="Y10" s="996">
        <v>0</v>
      </c>
      <c r="Z10" s="995"/>
      <c r="AA10" s="987">
        <v>84310</v>
      </c>
      <c r="AC10" s="987">
        <v>1251</v>
      </c>
      <c r="AE10" s="979">
        <v>4545.4850399999996</v>
      </c>
      <c r="AF10" s="953"/>
      <c r="AG10" s="979"/>
      <c r="AH10" s="997"/>
      <c r="AI10" s="979">
        <v>17063</v>
      </c>
      <c r="AJ10" s="998"/>
      <c r="AK10" s="979">
        <v>2003.4296633143124</v>
      </c>
      <c r="AL10" s="998"/>
      <c r="AM10" s="979">
        <v>-2003.4296633143124</v>
      </c>
      <c r="AN10" s="953"/>
      <c r="AO10" s="999">
        <v>436453.26244000002</v>
      </c>
      <c r="AP10" s="953"/>
      <c r="AQ10" s="953">
        <v>423093.09900330455</v>
      </c>
      <c r="AS10" s="953">
        <v>13360.163436695468</v>
      </c>
      <c r="AU10" s="953">
        <v>37524</v>
      </c>
      <c r="AV10" s="940">
        <v>38994</v>
      </c>
      <c r="AW10" s="940">
        <v>1470</v>
      </c>
    </row>
    <row r="11" spans="1:49" x14ac:dyDescent="0.25">
      <c r="A11" s="925" t="s">
        <v>307</v>
      </c>
      <c r="B11" s="926" t="s">
        <v>804</v>
      </c>
      <c r="C11" s="926">
        <v>1008</v>
      </c>
      <c r="D11" s="938">
        <v>1520</v>
      </c>
      <c r="E11" s="939">
        <v>45600</v>
      </c>
      <c r="F11" s="993">
        <v>45600</v>
      </c>
      <c r="G11" s="930" t="s">
        <v>1078</v>
      </c>
      <c r="H11" s="897">
        <v>5.5246000000000004</v>
      </c>
      <c r="I11" s="979">
        <v>251921.76</v>
      </c>
      <c r="K11" s="953">
        <v>3417.6315789473683</v>
      </c>
      <c r="L11" s="930">
        <v>0.2036</v>
      </c>
      <c r="M11" s="994">
        <v>26441.531999999999</v>
      </c>
      <c r="O11" s="987">
        <v>100000</v>
      </c>
      <c r="Q11" s="953">
        <v>63.157894736842103</v>
      </c>
      <c r="R11" s="930">
        <v>1.7611399999999999</v>
      </c>
      <c r="S11" s="994">
        <v>4226.7359999999999</v>
      </c>
      <c r="U11" s="953">
        <v>638.68421052631584</v>
      </c>
      <c r="V11" s="930">
        <v>0.2036</v>
      </c>
      <c r="W11" s="994">
        <v>4941.3720000000003</v>
      </c>
      <c r="X11" s="995"/>
      <c r="Y11" s="996">
        <v>0</v>
      </c>
      <c r="Z11" s="995"/>
      <c r="AA11" s="987">
        <v>0</v>
      </c>
      <c r="AC11" s="987">
        <v>21398</v>
      </c>
      <c r="AE11" s="979">
        <v>1757.0848800000003</v>
      </c>
      <c r="AF11" s="953"/>
      <c r="AG11" s="979">
        <v>3629</v>
      </c>
      <c r="AH11" s="997"/>
      <c r="AI11" s="979">
        <v>-8415</v>
      </c>
      <c r="AJ11" s="998"/>
      <c r="AK11" s="979">
        <v>2342.8320420355094</v>
      </c>
      <c r="AL11" s="998"/>
      <c r="AM11" s="979">
        <v>-2342.8320420355094</v>
      </c>
      <c r="AN11" s="953"/>
      <c r="AO11" s="999">
        <v>405900.48487999995</v>
      </c>
      <c r="AP11" s="953"/>
      <c r="AQ11" s="953">
        <v>408220.09899122809</v>
      </c>
      <c r="AS11" s="953">
        <v>-2319.6141112281475</v>
      </c>
      <c r="AU11" s="953">
        <v>45600</v>
      </c>
      <c r="AV11" s="940">
        <v>45600</v>
      </c>
      <c r="AW11" s="940">
        <v>0</v>
      </c>
    </row>
    <row r="12" spans="1:49" x14ac:dyDescent="0.25">
      <c r="A12" s="925" t="s">
        <v>308</v>
      </c>
      <c r="B12" s="926" t="s">
        <v>805</v>
      </c>
      <c r="C12" s="926">
        <v>1005</v>
      </c>
      <c r="D12" s="938">
        <v>1976</v>
      </c>
      <c r="E12" s="939">
        <v>59280</v>
      </c>
      <c r="F12" s="993">
        <v>53820</v>
      </c>
      <c r="G12" s="930" t="s">
        <v>1078</v>
      </c>
      <c r="H12" s="897">
        <v>5.5246000000000004</v>
      </c>
      <c r="I12" s="979">
        <v>297333.97200000001</v>
      </c>
      <c r="K12" s="953">
        <v>3927.6315789473683</v>
      </c>
      <c r="L12" s="930">
        <v>0.2036</v>
      </c>
      <c r="M12" s="994">
        <v>30387.3</v>
      </c>
      <c r="O12" s="987">
        <v>100000</v>
      </c>
      <c r="Q12" s="953">
        <v>62.368421052631582</v>
      </c>
      <c r="R12" s="930">
        <v>1.7611399999999999</v>
      </c>
      <c r="S12" s="994">
        <v>4173.9018000000005</v>
      </c>
      <c r="U12" s="953">
        <v>198.15789473684211</v>
      </c>
      <c r="V12" s="930">
        <v>0.2036</v>
      </c>
      <c r="W12" s="994">
        <v>1533.1079999999999</v>
      </c>
      <c r="X12" s="995"/>
      <c r="Y12" s="996">
        <v>0</v>
      </c>
      <c r="Z12" s="995"/>
      <c r="AA12" s="987">
        <v>84310</v>
      </c>
      <c r="AC12" s="987">
        <v>0</v>
      </c>
      <c r="AE12" s="979">
        <v>8936.1212400000004</v>
      </c>
      <c r="AF12" s="953"/>
      <c r="AG12" s="979"/>
      <c r="AH12" s="997"/>
      <c r="AI12" s="979">
        <v>775</v>
      </c>
      <c r="AJ12" s="998"/>
      <c r="AK12" s="979">
        <v>2765.1583443498052</v>
      </c>
      <c r="AL12" s="998"/>
      <c r="AM12" s="979">
        <v>-2765.1583443498052</v>
      </c>
      <c r="AN12" s="953"/>
      <c r="AO12" s="999">
        <v>527449.40304</v>
      </c>
      <c r="AP12" s="953"/>
      <c r="AQ12" s="953">
        <v>504926.09900018864</v>
      </c>
      <c r="AS12" s="953">
        <v>22523.304039811366</v>
      </c>
      <c r="AU12" s="953">
        <v>53010</v>
      </c>
      <c r="AV12" s="940">
        <v>53820</v>
      </c>
      <c r="AW12" s="940">
        <v>810</v>
      </c>
    </row>
    <row r="13" spans="1:49" x14ac:dyDescent="0.25">
      <c r="A13" s="925" t="s">
        <v>309</v>
      </c>
      <c r="B13" s="926" t="s">
        <v>806</v>
      </c>
      <c r="C13" s="926">
        <v>1010</v>
      </c>
      <c r="D13" s="938">
        <v>1520</v>
      </c>
      <c r="E13" s="939">
        <v>45600</v>
      </c>
      <c r="F13" s="993">
        <v>38298</v>
      </c>
      <c r="G13" s="930" t="s">
        <v>1078</v>
      </c>
      <c r="H13" s="897">
        <v>5.5246000000000004</v>
      </c>
      <c r="I13" s="979">
        <v>211581.13080000001</v>
      </c>
      <c r="K13" s="953">
        <v>2360.3684210526317</v>
      </c>
      <c r="L13" s="930">
        <v>0.2036</v>
      </c>
      <c r="M13" s="994">
        <v>18261.698400000001</v>
      </c>
      <c r="O13" s="987">
        <v>100000</v>
      </c>
      <c r="Q13" s="953">
        <v>20.526315789473685</v>
      </c>
      <c r="R13" s="930">
        <v>1.7611399999999999</v>
      </c>
      <c r="S13" s="994">
        <v>1373.6891999999998</v>
      </c>
      <c r="U13" s="953">
        <v>697.10526315789468</v>
      </c>
      <c r="V13" s="930">
        <v>0.2036</v>
      </c>
      <c r="W13" s="994">
        <v>5393.3639999999996</v>
      </c>
      <c r="X13" s="995"/>
      <c r="Y13" s="996">
        <v>0</v>
      </c>
      <c r="Z13" s="995"/>
      <c r="AA13" s="987">
        <v>0</v>
      </c>
      <c r="AC13" s="987">
        <v>9761</v>
      </c>
      <c r="AE13" s="979">
        <v>1790.8821599999997</v>
      </c>
      <c r="AF13" s="953"/>
      <c r="AG13" s="979"/>
      <c r="AH13" s="997"/>
      <c r="AI13" s="979">
        <v>-16265</v>
      </c>
      <c r="AJ13" s="998"/>
      <c r="AK13" s="979">
        <v>1967.6706479358756</v>
      </c>
      <c r="AL13" s="998"/>
      <c r="AM13" s="979">
        <v>-1967.6706479358756</v>
      </c>
      <c r="AN13" s="953"/>
      <c r="AO13" s="999">
        <v>331896.76456000004</v>
      </c>
      <c r="AP13" s="953"/>
      <c r="AQ13" s="953">
        <v>409308.09899070382</v>
      </c>
      <c r="AS13" s="953">
        <v>-77411.334430703777</v>
      </c>
      <c r="AU13" s="953">
        <v>37650</v>
      </c>
      <c r="AV13" s="940">
        <v>38298</v>
      </c>
      <c r="AW13" s="940">
        <v>648</v>
      </c>
    </row>
    <row r="14" spans="1:49" x14ac:dyDescent="0.25">
      <c r="A14" s="925" t="s">
        <v>310</v>
      </c>
      <c r="B14" s="926" t="s">
        <v>807</v>
      </c>
      <c r="C14" s="926">
        <v>1009</v>
      </c>
      <c r="D14" s="938">
        <v>1520</v>
      </c>
      <c r="E14" s="939">
        <v>45600</v>
      </c>
      <c r="F14" s="993">
        <v>45600</v>
      </c>
      <c r="G14" s="930" t="s">
        <v>1078</v>
      </c>
      <c r="H14" s="897">
        <v>5.5246000000000004</v>
      </c>
      <c r="I14" s="979">
        <v>251921.76</v>
      </c>
      <c r="K14" s="953">
        <v>3412.105263157895</v>
      </c>
      <c r="L14" s="930">
        <v>0.2036</v>
      </c>
      <c r="M14" s="994">
        <v>26398.776000000002</v>
      </c>
      <c r="O14" s="987">
        <v>100000</v>
      </c>
      <c r="Q14" s="953">
        <v>41.05263157894737</v>
      </c>
      <c r="R14" s="930">
        <v>1.7611399999999999</v>
      </c>
      <c r="S14" s="994">
        <v>2747.3783999999996</v>
      </c>
      <c r="U14" s="953">
        <v>533.68421052631584</v>
      </c>
      <c r="V14" s="930">
        <v>0.2036</v>
      </c>
      <c r="W14" s="994">
        <v>4129.0080000000007</v>
      </c>
      <c r="X14" s="995"/>
      <c r="Y14" s="996">
        <v>0</v>
      </c>
      <c r="Z14" s="995"/>
      <c r="AA14" s="987">
        <v>0</v>
      </c>
      <c r="AC14" s="987">
        <v>9761</v>
      </c>
      <c r="AE14" s="979">
        <v>3446.5855799999999</v>
      </c>
      <c r="AF14" s="953"/>
      <c r="AG14" s="979"/>
      <c r="AH14" s="997"/>
      <c r="AI14" s="979">
        <v>1630</v>
      </c>
      <c r="AJ14" s="998"/>
      <c r="AK14" s="979">
        <v>2342.8320420355094</v>
      </c>
      <c r="AL14" s="998"/>
      <c r="AM14" s="979">
        <v>-2342.8320420355094</v>
      </c>
      <c r="AN14" s="953"/>
      <c r="AO14" s="999">
        <v>400034.50797999999</v>
      </c>
      <c r="AP14" s="953"/>
      <c r="AQ14" s="953">
        <v>380568.09899122809</v>
      </c>
      <c r="AS14" s="953">
        <v>19466.408988771902</v>
      </c>
      <c r="AU14" s="953">
        <v>45600</v>
      </c>
      <c r="AV14" s="940">
        <v>45600</v>
      </c>
      <c r="AW14" s="940">
        <v>0</v>
      </c>
    </row>
    <row r="15" spans="1:49" x14ac:dyDescent="0.25">
      <c r="A15" s="925" t="s">
        <v>311</v>
      </c>
      <c r="B15" s="926" t="s">
        <v>808</v>
      </c>
      <c r="C15" s="926">
        <v>1015</v>
      </c>
      <c r="D15" s="938">
        <v>1520</v>
      </c>
      <c r="E15" s="939">
        <v>45600</v>
      </c>
      <c r="F15" s="993">
        <v>38148</v>
      </c>
      <c r="G15" s="930" t="s">
        <v>1078</v>
      </c>
      <c r="H15" s="897">
        <v>5.5246000000000004</v>
      </c>
      <c r="I15" s="979">
        <v>210752.44080000001</v>
      </c>
      <c r="K15" s="953">
        <v>356.84210526315792</v>
      </c>
      <c r="L15" s="930">
        <v>0.2036</v>
      </c>
      <c r="M15" s="994">
        <v>2760.8160000000003</v>
      </c>
      <c r="O15" s="987">
        <v>100000</v>
      </c>
      <c r="Q15" s="953">
        <v>4.7368421052631575</v>
      </c>
      <c r="R15" s="930">
        <v>1.7611399999999999</v>
      </c>
      <c r="S15" s="994">
        <v>317.00519999999995</v>
      </c>
      <c r="U15" s="953">
        <v>18.94736842105263</v>
      </c>
      <c r="V15" s="930">
        <v>0.2036</v>
      </c>
      <c r="W15" s="994">
        <v>146.59199999999998</v>
      </c>
      <c r="X15" s="995"/>
      <c r="Y15" s="996">
        <v>0</v>
      </c>
      <c r="Z15" s="995"/>
      <c r="AA15" s="987">
        <v>0</v>
      </c>
      <c r="AC15" s="987">
        <v>22825</v>
      </c>
      <c r="AE15" s="979">
        <v>2230.1533800000002</v>
      </c>
      <c r="AF15" s="953"/>
      <c r="AG15" s="979"/>
      <c r="AH15" s="997"/>
      <c r="AI15" s="979">
        <v>-39146</v>
      </c>
      <c r="AJ15" s="998"/>
      <c r="AK15" s="979">
        <v>1959.9639635870747</v>
      </c>
      <c r="AL15" s="998"/>
      <c r="AM15" s="979">
        <v>-1959.9639635870747</v>
      </c>
      <c r="AN15" s="953"/>
      <c r="AO15" s="999">
        <v>299886.00737999997</v>
      </c>
      <c r="AP15" s="953"/>
      <c r="AQ15" s="953">
        <v>341307.0989893396</v>
      </c>
      <c r="AS15" s="953">
        <v>-41421.091609339637</v>
      </c>
      <c r="AU15" s="953">
        <v>43338</v>
      </c>
      <c r="AV15" s="940">
        <v>38148</v>
      </c>
      <c r="AW15" s="940">
        <v>-5190</v>
      </c>
    </row>
    <row r="16" spans="1:49" x14ac:dyDescent="0.25">
      <c r="D16" s="941">
        <v>13072</v>
      </c>
      <c r="E16" s="941">
        <v>392160</v>
      </c>
      <c r="F16" s="942">
        <v>304146</v>
      </c>
      <c r="I16" s="1000">
        <v>1680284.9916000001</v>
      </c>
      <c r="J16" s="1001"/>
      <c r="K16" s="941">
        <v>16801.105263157893</v>
      </c>
      <c r="L16" s="1001"/>
      <c r="M16" s="1000">
        <v>129986.79120000001</v>
      </c>
      <c r="N16" s="1001"/>
      <c r="O16" s="1000">
        <v>800000</v>
      </c>
      <c r="P16" s="1001"/>
      <c r="Q16" s="941">
        <v>310.26315789473682</v>
      </c>
      <c r="R16" s="1001"/>
      <c r="S16" s="1000">
        <v>20763.840600000003</v>
      </c>
      <c r="T16" s="1001"/>
      <c r="U16" s="941">
        <v>2505.1578947368421</v>
      </c>
      <c r="V16" s="1001"/>
      <c r="W16" s="1000">
        <v>19381.905600000002</v>
      </c>
      <c r="X16" s="1001"/>
      <c r="Y16" s="1000">
        <v>0</v>
      </c>
      <c r="Z16" s="1001"/>
      <c r="AA16" s="1000">
        <v>168620</v>
      </c>
      <c r="AB16" s="1002"/>
      <c r="AC16" s="1000">
        <v>64996</v>
      </c>
      <c r="AD16" s="1001"/>
      <c r="AE16" s="1000">
        <v>33966.442860000003</v>
      </c>
      <c r="AF16" s="1001"/>
      <c r="AG16" s="1000">
        <v>10511</v>
      </c>
      <c r="AH16" s="1003"/>
      <c r="AI16" s="1000">
        <v>-99006</v>
      </c>
      <c r="AJ16" s="1004"/>
      <c r="AK16" s="1000">
        <v>15626.381453002896</v>
      </c>
      <c r="AL16" s="1004"/>
      <c r="AM16" s="1000">
        <v>-15626.381453002896</v>
      </c>
      <c r="AN16" s="1001"/>
      <c r="AO16" s="1005">
        <v>2829504.9718600004</v>
      </c>
      <c r="AQ16" s="1000">
        <v>2997926.7919852226</v>
      </c>
      <c r="AS16" s="1000">
        <v>-168421.82012522235</v>
      </c>
      <c r="AU16" s="1000">
        <v>310992</v>
      </c>
      <c r="AV16" s="1000">
        <v>304146</v>
      </c>
    </row>
    <row r="17" spans="1:49" x14ac:dyDescent="0.25">
      <c r="I17" s="1006"/>
      <c r="J17" s="1007"/>
      <c r="K17" s="1008"/>
      <c r="L17" s="1007"/>
      <c r="M17" s="1006"/>
      <c r="N17" s="1007"/>
      <c r="O17" s="1006"/>
      <c r="P17" s="1007"/>
      <c r="Q17" s="1008"/>
      <c r="R17" s="1007"/>
      <c r="S17" s="1006"/>
      <c r="T17" s="1007"/>
      <c r="U17" s="1008"/>
      <c r="V17" s="1007"/>
      <c r="W17" s="1006"/>
      <c r="X17" s="1007"/>
      <c r="Y17" s="1009"/>
      <c r="Z17" s="1007"/>
      <c r="AA17" s="1006"/>
      <c r="AB17" s="1010"/>
      <c r="AC17" s="1006"/>
      <c r="AD17" s="1007"/>
      <c r="AE17" s="1006"/>
      <c r="AF17" s="1007"/>
      <c r="AG17" s="1006"/>
      <c r="AH17" s="1011"/>
      <c r="AI17" s="1006"/>
      <c r="AJ17" s="1012"/>
      <c r="AK17" s="1006"/>
      <c r="AL17" s="1012"/>
      <c r="AM17" s="1006"/>
      <c r="AN17" s="1007"/>
      <c r="AO17" s="1013"/>
      <c r="AQ17" s="1006"/>
      <c r="AU17" s="953"/>
    </row>
    <row r="18" spans="1:49" ht="15.75" x14ac:dyDescent="0.25">
      <c r="A18" s="943" t="s">
        <v>3</v>
      </c>
      <c r="B18" s="930" t="s">
        <v>809</v>
      </c>
      <c r="C18" s="944">
        <v>2400</v>
      </c>
      <c r="D18" s="938">
        <v>0</v>
      </c>
      <c r="E18" s="939">
        <v>0</v>
      </c>
      <c r="F18" s="993">
        <v>0</v>
      </c>
      <c r="G18" s="930" t="s">
        <v>1075</v>
      </c>
      <c r="H18" s="897">
        <v>3.5636999999999999</v>
      </c>
      <c r="I18" s="979">
        <v>0</v>
      </c>
      <c r="K18" s="930">
        <v>0</v>
      </c>
      <c r="L18" s="930">
        <v>0.2036</v>
      </c>
      <c r="M18" s="994">
        <v>0</v>
      </c>
      <c r="O18" s="979">
        <v>0</v>
      </c>
      <c r="Q18" s="930">
        <v>0</v>
      </c>
      <c r="R18" s="930">
        <v>1.7611399999999999</v>
      </c>
      <c r="S18" s="994">
        <v>0</v>
      </c>
      <c r="U18" s="930">
        <v>0</v>
      </c>
      <c r="V18" s="930">
        <v>0.2036</v>
      </c>
      <c r="W18" s="994">
        <v>0</v>
      </c>
      <c r="Y18" s="996">
        <v>0</v>
      </c>
      <c r="AA18" s="996">
        <v>0</v>
      </c>
      <c r="AC18" s="996">
        <v>0</v>
      </c>
      <c r="AE18" s="996">
        <v>0</v>
      </c>
      <c r="AG18" s="996">
        <v>0</v>
      </c>
      <c r="AH18" s="1014"/>
      <c r="AI18" s="979">
        <v>0</v>
      </c>
      <c r="AJ18" s="998"/>
      <c r="AK18" s="979">
        <v>0</v>
      </c>
      <c r="AL18" s="998"/>
      <c r="AM18" s="979">
        <v>0</v>
      </c>
      <c r="AO18" s="999">
        <v>0</v>
      </c>
      <c r="AQ18" s="953">
        <v>0</v>
      </c>
      <c r="AS18" s="953">
        <v>0</v>
      </c>
      <c r="AU18" s="953">
        <v>0</v>
      </c>
      <c r="AV18" s="930">
        <v>0</v>
      </c>
      <c r="AW18" s="940">
        <v>0</v>
      </c>
    </row>
    <row r="19" spans="1:49" ht="15.75" x14ac:dyDescent="0.25">
      <c r="A19" s="943" t="s">
        <v>4</v>
      </c>
      <c r="B19" s="930" t="s">
        <v>810</v>
      </c>
      <c r="C19" s="944">
        <v>2443</v>
      </c>
      <c r="D19" s="938">
        <v>988</v>
      </c>
      <c r="E19" s="939">
        <v>29640</v>
      </c>
      <c r="F19" s="993">
        <v>26910</v>
      </c>
      <c r="G19" s="930" t="s">
        <v>1075</v>
      </c>
      <c r="H19" s="897">
        <v>3.5636999999999999</v>
      </c>
      <c r="I19" s="979">
        <v>95899.167000000001</v>
      </c>
      <c r="K19" s="930">
        <v>1109.2105263157894</v>
      </c>
      <c r="L19" s="930">
        <v>0.2036</v>
      </c>
      <c r="M19" s="994">
        <v>8581.74</v>
      </c>
      <c r="O19" s="979">
        <v>0</v>
      </c>
      <c r="Q19" s="930">
        <v>25.263157894736842</v>
      </c>
      <c r="R19" s="930">
        <v>1.7611399999999999</v>
      </c>
      <c r="S19" s="994">
        <v>1690.6944000000001</v>
      </c>
      <c r="U19" s="930">
        <v>21.315789473684209</v>
      </c>
      <c r="V19" s="930">
        <v>0.2036</v>
      </c>
      <c r="W19" s="994">
        <v>164.916</v>
      </c>
      <c r="Y19" s="996">
        <v>0</v>
      </c>
      <c r="AA19" s="996">
        <v>0</v>
      </c>
      <c r="AC19" s="996">
        <v>0</v>
      </c>
      <c r="AE19" s="996">
        <v>0</v>
      </c>
      <c r="AG19" s="996">
        <v>0</v>
      </c>
      <c r="AH19" s="1014"/>
      <c r="AI19" s="979">
        <v>-7969</v>
      </c>
      <c r="AJ19" s="998"/>
      <c r="AK19" s="979">
        <v>1382.5791721749026</v>
      </c>
      <c r="AL19" s="998"/>
      <c r="AM19" s="979">
        <v>-1382.5791721749026</v>
      </c>
      <c r="AO19" s="999">
        <v>98367.517399999997</v>
      </c>
      <c r="AQ19" s="953">
        <v>112349.0098</v>
      </c>
      <c r="AS19" s="953">
        <v>-13981.492400000003</v>
      </c>
      <c r="AU19" s="953">
        <v>29190</v>
      </c>
      <c r="AV19" s="930">
        <v>26910</v>
      </c>
      <c r="AW19" s="940">
        <v>-2280</v>
      </c>
    </row>
    <row r="20" spans="1:49" ht="15.75" x14ac:dyDescent="0.25">
      <c r="A20" s="943" t="s">
        <v>312</v>
      </c>
      <c r="B20" s="930" t="s">
        <v>811</v>
      </c>
      <c r="C20" s="944">
        <v>2442</v>
      </c>
      <c r="D20" s="938">
        <v>0</v>
      </c>
      <c r="E20" s="939">
        <v>0</v>
      </c>
      <c r="F20" s="993">
        <v>0</v>
      </c>
      <c r="G20" s="930" t="s">
        <v>1075</v>
      </c>
      <c r="H20" s="897">
        <v>3.5636999999999999</v>
      </c>
      <c r="I20" s="979">
        <v>0</v>
      </c>
      <c r="K20" s="930">
        <v>0</v>
      </c>
      <c r="L20" s="930">
        <v>0.2036</v>
      </c>
      <c r="M20" s="994">
        <v>0</v>
      </c>
      <c r="O20" s="979">
        <v>0</v>
      </c>
      <c r="Q20" s="930">
        <v>0</v>
      </c>
      <c r="R20" s="930">
        <v>1.7611399999999999</v>
      </c>
      <c r="S20" s="994">
        <v>0</v>
      </c>
      <c r="U20" s="930">
        <v>0</v>
      </c>
      <c r="V20" s="930">
        <v>0.2036</v>
      </c>
      <c r="W20" s="994">
        <v>0</v>
      </c>
      <c r="Y20" s="996">
        <v>0</v>
      </c>
      <c r="AA20" s="996">
        <v>0</v>
      </c>
      <c r="AC20" s="996">
        <v>0</v>
      </c>
      <c r="AE20" s="996">
        <v>0</v>
      </c>
      <c r="AG20" s="996">
        <v>0</v>
      </c>
      <c r="AH20" s="1014"/>
      <c r="AI20" s="979">
        <v>0</v>
      </c>
      <c r="AJ20" s="998"/>
      <c r="AK20" s="979">
        <v>0</v>
      </c>
      <c r="AL20" s="998"/>
      <c r="AM20" s="979">
        <v>0</v>
      </c>
      <c r="AO20" s="999">
        <v>0</v>
      </c>
      <c r="AQ20" s="953">
        <v>0</v>
      </c>
      <c r="AS20" s="953">
        <v>0</v>
      </c>
      <c r="AU20" s="953">
        <v>0</v>
      </c>
      <c r="AV20" s="930">
        <v>0</v>
      </c>
      <c r="AW20" s="940">
        <v>0</v>
      </c>
    </row>
    <row r="21" spans="1:49" ht="15.75" x14ac:dyDescent="0.25">
      <c r="A21" s="943" t="s">
        <v>6</v>
      </c>
      <c r="B21" s="930" t="s">
        <v>812</v>
      </c>
      <c r="C21" s="944">
        <v>2629</v>
      </c>
      <c r="D21" s="938">
        <v>1482</v>
      </c>
      <c r="E21" s="939">
        <v>44460</v>
      </c>
      <c r="F21" s="993">
        <v>41340</v>
      </c>
      <c r="G21" s="930" t="s">
        <v>1075</v>
      </c>
      <c r="H21" s="897">
        <v>3.5636999999999999</v>
      </c>
      <c r="I21" s="979">
        <v>147323.35800000001</v>
      </c>
      <c r="K21" s="930">
        <v>3079.7368421052633</v>
      </c>
      <c r="L21" s="930">
        <v>0.2036</v>
      </c>
      <c r="M21" s="994">
        <v>23827.308000000001</v>
      </c>
      <c r="O21" s="979">
        <v>0</v>
      </c>
      <c r="Q21" s="930">
        <v>29.210526315789473</v>
      </c>
      <c r="R21" s="930">
        <v>1.7611399999999999</v>
      </c>
      <c r="S21" s="994">
        <v>1954.8653999999999</v>
      </c>
      <c r="U21" s="930">
        <v>851.0526315789474</v>
      </c>
      <c r="V21" s="930">
        <v>0.2036</v>
      </c>
      <c r="W21" s="994">
        <v>6584.424</v>
      </c>
      <c r="Y21" s="996">
        <v>0</v>
      </c>
      <c r="AA21" s="996">
        <v>0</v>
      </c>
      <c r="AC21" s="996">
        <v>0</v>
      </c>
      <c r="AE21" s="996">
        <v>0</v>
      </c>
      <c r="AG21" s="996">
        <v>0</v>
      </c>
      <c r="AH21" s="1014"/>
      <c r="AI21" s="979">
        <v>-2375</v>
      </c>
      <c r="AJ21" s="998"/>
      <c r="AK21" s="979">
        <v>2123.9622065295603</v>
      </c>
      <c r="AL21" s="998"/>
      <c r="AM21" s="979">
        <v>-2123.9622065295603</v>
      </c>
      <c r="AO21" s="999">
        <v>177314.95540000001</v>
      </c>
      <c r="AQ21" s="953">
        <v>181961.57855001694</v>
      </c>
      <c r="AS21" s="953">
        <v>-4646.6231500169379</v>
      </c>
      <c r="AU21" s="953">
        <v>40500</v>
      </c>
      <c r="AV21" s="930">
        <v>41340</v>
      </c>
      <c r="AW21" s="940">
        <v>840</v>
      </c>
    </row>
    <row r="22" spans="1:49" ht="15.75" x14ac:dyDescent="0.25">
      <c r="A22" s="943" t="s">
        <v>7</v>
      </c>
      <c r="B22" s="930" t="s">
        <v>813</v>
      </c>
      <c r="C22" s="944">
        <v>2509</v>
      </c>
      <c r="D22" s="938">
        <v>0</v>
      </c>
      <c r="E22" s="939">
        <v>0</v>
      </c>
      <c r="F22" s="993">
        <v>0</v>
      </c>
      <c r="G22" s="930" t="s">
        <v>1075</v>
      </c>
      <c r="H22" s="897">
        <v>3.5636999999999999</v>
      </c>
      <c r="I22" s="979">
        <v>0</v>
      </c>
      <c r="K22" s="930">
        <v>0</v>
      </c>
      <c r="L22" s="930">
        <v>0.2036</v>
      </c>
      <c r="M22" s="994">
        <v>0</v>
      </c>
      <c r="O22" s="979">
        <v>0</v>
      </c>
      <c r="Q22" s="930">
        <v>0</v>
      </c>
      <c r="R22" s="930">
        <v>1.7611399999999999</v>
      </c>
      <c r="S22" s="994">
        <v>0</v>
      </c>
      <c r="U22" s="930">
        <v>0</v>
      </c>
      <c r="V22" s="930">
        <v>0.2036</v>
      </c>
      <c r="W22" s="994">
        <v>0</v>
      </c>
      <c r="Y22" s="996">
        <v>0</v>
      </c>
      <c r="AA22" s="996">
        <v>0</v>
      </c>
      <c r="AC22" s="996">
        <v>0</v>
      </c>
      <c r="AE22" s="996">
        <v>0</v>
      </c>
      <c r="AG22" s="996">
        <v>0</v>
      </c>
      <c r="AH22" s="1014"/>
      <c r="AI22" s="979">
        <v>0</v>
      </c>
      <c r="AJ22" s="998"/>
      <c r="AK22" s="979">
        <v>0</v>
      </c>
      <c r="AL22" s="998"/>
      <c r="AM22" s="979">
        <v>0</v>
      </c>
      <c r="AO22" s="999">
        <v>0</v>
      </c>
      <c r="AQ22" s="953">
        <v>0</v>
      </c>
      <c r="AS22" s="953">
        <v>0</v>
      </c>
      <c r="AU22" s="953">
        <v>0</v>
      </c>
      <c r="AV22" s="930">
        <v>0</v>
      </c>
      <c r="AW22" s="940">
        <v>0</v>
      </c>
    </row>
    <row r="23" spans="1:49" ht="15.75" x14ac:dyDescent="0.25">
      <c r="A23" s="943" t="s">
        <v>8</v>
      </c>
      <c r="B23" s="930" t="s">
        <v>814</v>
      </c>
      <c r="C23" s="944">
        <v>2005</v>
      </c>
      <c r="D23" s="938">
        <v>0</v>
      </c>
      <c r="E23" s="939">
        <v>0</v>
      </c>
      <c r="F23" s="993">
        <v>0</v>
      </c>
      <c r="G23" s="930" t="s">
        <v>1075</v>
      </c>
      <c r="H23" s="897">
        <v>3.5636999999999999</v>
      </c>
      <c r="I23" s="979">
        <v>0</v>
      </c>
      <c r="K23" s="930">
        <v>0</v>
      </c>
      <c r="L23" s="930">
        <v>0.2036</v>
      </c>
      <c r="M23" s="994">
        <v>0</v>
      </c>
      <c r="O23" s="979">
        <v>0</v>
      </c>
      <c r="Q23" s="930">
        <v>0</v>
      </c>
      <c r="R23" s="930">
        <v>1.7611399999999999</v>
      </c>
      <c r="S23" s="994">
        <v>0</v>
      </c>
      <c r="U23" s="930">
        <v>0</v>
      </c>
      <c r="V23" s="930">
        <v>0.2036</v>
      </c>
      <c r="W23" s="994">
        <v>0</v>
      </c>
      <c r="Y23" s="996">
        <v>0</v>
      </c>
      <c r="AA23" s="996">
        <v>0</v>
      </c>
      <c r="AC23" s="996">
        <v>0</v>
      </c>
      <c r="AE23" s="996">
        <v>0</v>
      </c>
      <c r="AG23" s="996">
        <v>0</v>
      </c>
      <c r="AH23" s="1014"/>
      <c r="AI23" s="979">
        <v>0</v>
      </c>
      <c r="AJ23" s="998"/>
      <c r="AK23" s="979">
        <v>0</v>
      </c>
      <c r="AL23" s="998"/>
      <c r="AM23" s="979">
        <v>0</v>
      </c>
      <c r="AO23" s="999">
        <v>0</v>
      </c>
      <c r="AQ23" s="953">
        <v>0</v>
      </c>
      <c r="AS23" s="953">
        <v>0</v>
      </c>
      <c r="AU23" s="953">
        <v>0</v>
      </c>
      <c r="AV23" s="930">
        <v>0</v>
      </c>
      <c r="AW23" s="940">
        <v>0</v>
      </c>
    </row>
    <row r="24" spans="1:49" ht="15.75" x14ac:dyDescent="0.25">
      <c r="A24" s="943" t="s">
        <v>9</v>
      </c>
      <c r="B24" s="930" t="s">
        <v>815</v>
      </c>
      <c r="C24" s="944">
        <v>2464</v>
      </c>
      <c r="D24" s="938">
        <v>988</v>
      </c>
      <c r="E24" s="939">
        <v>29640</v>
      </c>
      <c r="F24" s="993">
        <v>24552</v>
      </c>
      <c r="G24" s="930" t="s">
        <v>1075</v>
      </c>
      <c r="H24" s="897">
        <v>3.5636999999999999</v>
      </c>
      <c r="I24" s="979">
        <v>87495.962400000004</v>
      </c>
      <c r="K24" s="930">
        <v>357</v>
      </c>
      <c r="L24" s="930">
        <v>0.2036</v>
      </c>
      <c r="M24" s="994">
        <v>2762.0375999999997</v>
      </c>
      <c r="O24" s="979">
        <v>0</v>
      </c>
      <c r="Q24" s="930">
        <v>0</v>
      </c>
      <c r="R24" s="930">
        <v>1.7611399999999999</v>
      </c>
      <c r="S24" s="994">
        <v>0</v>
      </c>
      <c r="U24" s="930">
        <v>0</v>
      </c>
      <c r="V24" s="930">
        <v>0.2036</v>
      </c>
      <c r="W24" s="994">
        <v>0</v>
      </c>
      <c r="Y24" s="996">
        <v>0</v>
      </c>
      <c r="AA24" s="996">
        <v>0</v>
      </c>
      <c r="AC24" s="996">
        <v>0</v>
      </c>
      <c r="AE24" s="996">
        <v>0</v>
      </c>
      <c r="AG24" s="996">
        <v>0</v>
      </c>
      <c r="AH24" s="1014"/>
      <c r="AI24" s="979">
        <v>1464</v>
      </c>
      <c r="AJ24" s="998"/>
      <c r="AK24" s="979">
        <v>1261.4300942117504</v>
      </c>
      <c r="AL24" s="998"/>
      <c r="AM24" s="979">
        <v>-1261.4300942117504</v>
      </c>
      <c r="AO24" s="999">
        <v>91722</v>
      </c>
      <c r="AQ24" s="953">
        <v>96317.805195885536</v>
      </c>
      <c r="AS24" s="953">
        <v>-4595.8051958855358</v>
      </c>
      <c r="AU24" s="953">
        <v>24480</v>
      </c>
      <c r="AV24" s="930">
        <v>24552</v>
      </c>
      <c r="AW24" s="940">
        <v>72</v>
      </c>
    </row>
    <row r="25" spans="1:49" ht="15.75" x14ac:dyDescent="0.25">
      <c r="A25" s="943" t="s">
        <v>10</v>
      </c>
      <c r="B25" s="930" t="s">
        <v>816</v>
      </c>
      <c r="C25" s="944">
        <v>2004</v>
      </c>
      <c r="D25" s="938">
        <v>1976</v>
      </c>
      <c r="E25" s="939">
        <v>59280</v>
      </c>
      <c r="F25" s="993">
        <v>29070</v>
      </c>
      <c r="G25" s="930" t="s">
        <v>1075</v>
      </c>
      <c r="H25" s="897">
        <v>3.5636999999999999</v>
      </c>
      <c r="I25" s="979">
        <v>103596.75899999999</v>
      </c>
      <c r="K25" s="930">
        <v>2167.1052631578946</v>
      </c>
      <c r="L25" s="930">
        <v>0.2036</v>
      </c>
      <c r="M25" s="994">
        <v>16766.46</v>
      </c>
      <c r="O25" s="979">
        <v>0</v>
      </c>
      <c r="Q25" s="930">
        <v>43.421052631578945</v>
      </c>
      <c r="R25" s="930">
        <v>1.7611399999999999</v>
      </c>
      <c r="S25" s="994">
        <v>2905.8809999999999</v>
      </c>
      <c r="U25" s="930">
        <v>26.05263157894737</v>
      </c>
      <c r="V25" s="930">
        <v>0.2036</v>
      </c>
      <c r="W25" s="994">
        <v>201.56400000000002</v>
      </c>
      <c r="Y25" s="996">
        <v>0</v>
      </c>
      <c r="AA25" s="996">
        <v>0</v>
      </c>
      <c r="AC25" s="996">
        <v>0</v>
      </c>
      <c r="AE25" s="996">
        <v>0</v>
      </c>
      <c r="AG25" s="996">
        <v>0</v>
      </c>
      <c r="AH25" s="1014"/>
      <c r="AI25" s="979">
        <v>0</v>
      </c>
      <c r="AJ25" s="998"/>
      <c r="AK25" s="979">
        <v>1493.5554267976372</v>
      </c>
      <c r="AL25" s="998"/>
      <c r="AM25" s="979">
        <v>-1493.5554267976372</v>
      </c>
      <c r="AO25" s="999">
        <v>123470.66399999998</v>
      </c>
      <c r="AQ25" s="953">
        <v>158763.00764279411</v>
      </c>
      <c r="AS25" s="953">
        <v>-35292.343642794134</v>
      </c>
      <c r="AU25" s="953">
        <v>34620</v>
      </c>
      <c r="AV25" s="930">
        <v>29070</v>
      </c>
      <c r="AW25" s="940">
        <v>-5550</v>
      </c>
    </row>
    <row r="26" spans="1:49" ht="15.75" x14ac:dyDescent="0.25">
      <c r="A26" s="943" t="s">
        <v>11</v>
      </c>
      <c r="B26" s="930" t="s">
        <v>817</v>
      </c>
      <c r="C26" s="944">
        <v>2405</v>
      </c>
      <c r="D26" s="938">
        <v>988</v>
      </c>
      <c r="E26" s="939">
        <v>29640</v>
      </c>
      <c r="F26" s="993">
        <v>23940</v>
      </c>
      <c r="G26" s="930" t="s">
        <v>1075</v>
      </c>
      <c r="H26" s="897">
        <v>3.5636999999999999</v>
      </c>
      <c r="I26" s="979">
        <v>85314.978000000003</v>
      </c>
      <c r="K26" s="930">
        <v>1262.3684210526314</v>
      </c>
      <c r="L26" s="930">
        <v>0.2036</v>
      </c>
      <c r="M26" s="994">
        <v>9766.6919999999991</v>
      </c>
      <c r="O26" s="979">
        <v>0</v>
      </c>
      <c r="Q26" s="930">
        <v>34.736842105263158</v>
      </c>
      <c r="R26" s="930">
        <v>1.7611399999999999</v>
      </c>
      <c r="S26" s="994">
        <v>2324.7048</v>
      </c>
      <c r="U26" s="930">
        <v>226.57894736842104</v>
      </c>
      <c r="V26" s="930">
        <v>0.2036</v>
      </c>
      <c r="W26" s="994">
        <v>1752.9960000000001</v>
      </c>
      <c r="Y26" s="996">
        <v>0</v>
      </c>
      <c r="AA26" s="996">
        <v>0</v>
      </c>
      <c r="AC26" s="996">
        <v>0</v>
      </c>
      <c r="AE26" s="996">
        <v>0</v>
      </c>
      <c r="AG26" s="996">
        <v>0</v>
      </c>
      <c r="AH26" s="1014"/>
      <c r="AI26" s="979">
        <v>2365</v>
      </c>
      <c r="AJ26" s="998"/>
      <c r="AK26" s="979">
        <v>1229.9868220686424</v>
      </c>
      <c r="AL26" s="998"/>
      <c r="AM26" s="979">
        <v>-1229.9868220686424</v>
      </c>
      <c r="AO26" s="999">
        <v>101524.3708</v>
      </c>
      <c r="AQ26" s="953">
        <v>98275.095478501913</v>
      </c>
      <c r="AS26" s="953">
        <v>3249.2753214980912</v>
      </c>
      <c r="AU26" s="953">
        <v>23310</v>
      </c>
      <c r="AV26" s="930">
        <v>23940</v>
      </c>
      <c r="AW26" s="940">
        <v>630</v>
      </c>
    </row>
    <row r="27" spans="1:49" ht="15.75" x14ac:dyDescent="0.25">
      <c r="A27" s="943" t="s">
        <v>313</v>
      </c>
      <c r="B27" s="930" t="s">
        <v>818</v>
      </c>
      <c r="C27" s="944">
        <v>3525</v>
      </c>
      <c r="D27" s="938">
        <v>1482</v>
      </c>
      <c r="E27" s="939">
        <v>44460</v>
      </c>
      <c r="F27" s="993">
        <v>22974</v>
      </c>
      <c r="G27" s="930" t="s">
        <v>1075</v>
      </c>
      <c r="H27" s="897">
        <v>3.5636999999999999</v>
      </c>
      <c r="I27" s="979">
        <v>81872.443799999994</v>
      </c>
      <c r="K27" s="930">
        <v>667.42105263157896</v>
      </c>
      <c r="L27" s="930">
        <v>0.2036</v>
      </c>
      <c r="M27" s="994">
        <v>5163.7031999999999</v>
      </c>
      <c r="O27" s="979">
        <v>0</v>
      </c>
      <c r="Q27" s="930">
        <v>14.210526315789474</v>
      </c>
      <c r="R27" s="930">
        <v>1.7611399999999999</v>
      </c>
      <c r="S27" s="994">
        <v>951.01560000000006</v>
      </c>
      <c r="U27" s="930">
        <v>55.421052631578945</v>
      </c>
      <c r="V27" s="930">
        <v>0.2036</v>
      </c>
      <c r="W27" s="994">
        <v>428.78160000000003</v>
      </c>
      <c r="Y27" s="996">
        <v>0</v>
      </c>
      <c r="AA27" s="996">
        <v>0</v>
      </c>
      <c r="AC27" s="996">
        <v>0</v>
      </c>
      <c r="AE27" s="996">
        <v>0</v>
      </c>
      <c r="AG27" s="996">
        <v>0</v>
      </c>
      <c r="AH27" s="1014"/>
      <c r="AI27" s="979">
        <v>-9388</v>
      </c>
      <c r="AJ27" s="998"/>
      <c r="AK27" s="979">
        <v>1180.3557748623639</v>
      </c>
      <c r="AL27" s="998"/>
      <c r="AM27" s="979">
        <v>-1180.3557748623639</v>
      </c>
      <c r="AO27" s="999">
        <v>79027.944199999998</v>
      </c>
      <c r="AQ27" s="953">
        <v>99694.307565887386</v>
      </c>
      <c r="AS27" s="953">
        <v>-20666.363365887388</v>
      </c>
      <c r="AT27" s="930" t="s">
        <v>1326</v>
      </c>
      <c r="AU27" s="953">
        <v>26214</v>
      </c>
      <c r="AV27" s="930">
        <v>22974</v>
      </c>
      <c r="AW27" s="940">
        <v>-3240</v>
      </c>
    </row>
    <row r="28" spans="1:49" ht="15.75" x14ac:dyDescent="0.25">
      <c r="A28" s="943" t="s">
        <v>12</v>
      </c>
      <c r="B28" s="930" t="s">
        <v>819</v>
      </c>
      <c r="C28" s="944">
        <v>5201</v>
      </c>
      <c r="D28" s="938">
        <v>988</v>
      </c>
      <c r="E28" s="939">
        <v>29640</v>
      </c>
      <c r="F28" s="993">
        <v>24834</v>
      </c>
      <c r="G28" s="930" t="s">
        <v>1075</v>
      </c>
      <c r="H28" s="897">
        <v>3.5636999999999999</v>
      </c>
      <c r="I28" s="979">
        <v>88500.925799999997</v>
      </c>
      <c r="K28" s="930">
        <v>218.21052631578948</v>
      </c>
      <c r="L28" s="930">
        <v>0.2036</v>
      </c>
      <c r="M28" s="994">
        <v>1688.2512000000002</v>
      </c>
      <c r="O28" s="979">
        <v>0</v>
      </c>
      <c r="Q28" s="930">
        <v>9.473684210526315</v>
      </c>
      <c r="R28" s="930">
        <v>1.7611399999999999</v>
      </c>
      <c r="S28" s="994">
        <v>634.01039999999989</v>
      </c>
      <c r="U28" s="930">
        <v>0</v>
      </c>
      <c r="V28" s="930">
        <v>0.2036</v>
      </c>
      <c r="W28" s="994">
        <v>0</v>
      </c>
      <c r="Y28" s="996">
        <v>0</v>
      </c>
      <c r="AA28" s="996">
        <v>0</v>
      </c>
      <c r="AC28" s="996">
        <v>0</v>
      </c>
      <c r="AE28" s="996">
        <v>0</v>
      </c>
      <c r="AG28" s="996">
        <v>0</v>
      </c>
      <c r="AH28" s="1014"/>
      <c r="AI28" s="979">
        <v>-12455</v>
      </c>
      <c r="AJ28" s="998"/>
      <c r="AK28" s="979">
        <v>1275.9186607874965</v>
      </c>
      <c r="AL28" s="998"/>
      <c r="AM28" s="979">
        <v>-1275.9186607874965</v>
      </c>
      <c r="AO28" s="999">
        <v>78368.187399999995</v>
      </c>
      <c r="AQ28" s="953">
        <v>107852.41055596649</v>
      </c>
      <c r="AS28" s="953">
        <v>-29484.223155966494</v>
      </c>
      <c r="AT28" s="930" t="s">
        <v>1326</v>
      </c>
      <c r="AU28" s="953">
        <v>29460</v>
      </c>
      <c r="AV28" s="930">
        <v>24834</v>
      </c>
      <c r="AW28" s="940">
        <v>-4626</v>
      </c>
    </row>
    <row r="29" spans="1:49" ht="15.75" x14ac:dyDescent="0.25">
      <c r="A29" s="945" t="s">
        <v>1308</v>
      </c>
      <c r="B29" s="930" t="s">
        <v>820</v>
      </c>
      <c r="C29" s="946">
        <v>2007</v>
      </c>
      <c r="D29" s="938">
        <v>1976</v>
      </c>
      <c r="E29" s="939">
        <v>59280</v>
      </c>
      <c r="F29" s="993">
        <v>23820</v>
      </c>
      <c r="G29" s="930" t="s">
        <v>1075</v>
      </c>
      <c r="H29" s="897">
        <v>3.5636999999999999</v>
      </c>
      <c r="I29" s="979">
        <v>84887.334000000003</v>
      </c>
      <c r="K29" s="930">
        <v>1151</v>
      </c>
      <c r="L29" s="930">
        <v>0.2036</v>
      </c>
      <c r="M29" s="994">
        <v>8905.0568000000003</v>
      </c>
      <c r="O29" s="979">
        <v>0</v>
      </c>
      <c r="Q29" s="930">
        <v>42.63</v>
      </c>
      <c r="R29" s="930">
        <v>1.7611399999999999</v>
      </c>
      <c r="S29" s="994">
        <v>2852.9411316000001</v>
      </c>
      <c r="U29" s="930">
        <v>87.631578947368425</v>
      </c>
      <c r="V29" s="930">
        <v>0.2036</v>
      </c>
      <c r="W29" s="994">
        <v>677.98800000000006</v>
      </c>
      <c r="Y29" s="996">
        <v>0</v>
      </c>
      <c r="AA29" s="996">
        <v>0</v>
      </c>
      <c r="AC29" s="996">
        <v>0</v>
      </c>
      <c r="AE29" s="996">
        <v>0</v>
      </c>
      <c r="AG29" s="996">
        <v>0</v>
      </c>
      <c r="AH29" s="1014"/>
      <c r="AI29" s="979">
        <v>0</v>
      </c>
      <c r="AJ29" s="998"/>
      <c r="AK29" s="979">
        <v>1223.8214745896016</v>
      </c>
      <c r="AL29" s="998"/>
      <c r="AM29" s="1015">
        <v>0</v>
      </c>
      <c r="AO29" s="999">
        <v>98547.141406189607</v>
      </c>
      <c r="AQ29" s="953">
        <v>98885.540999999997</v>
      </c>
      <c r="AS29" s="953">
        <v>-338.3995938103908</v>
      </c>
      <c r="AU29" s="953">
        <v>22830</v>
      </c>
      <c r="AV29" s="930">
        <v>23820</v>
      </c>
      <c r="AW29" s="940">
        <v>990</v>
      </c>
    </row>
    <row r="30" spans="1:49" ht="15.75" x14ac:dyDescent="0.25">
      <c r="A30" s="943" t="s">
        <v>14</v>
      </c>
      <c r="B30" s="930" t="s">
        <v>821</v>
      </c>
      <c r="C30" s="944">
        <v>2433</v>
      </c>
      <c r="D30" s="938">
        <v>988</v>
      </c>
      <c r="E30" s="939">
        <v>29640</v>
      </c>
      <c r="F30" s="993">
        <v>27810</v>
      </c>
      <c r="G30" s="930" t="s">
        <v>1075</v>
      </c>
      <c r="H30" s="897">
        <v>3.5636999999999999</v>
      </c>
      <c r="I30" s="979">
        <v>99106.497000000003</v>
      </c>
      <c r="K30" s="930">
        <v>871.8947368421052</v>
      </c>
      <c r="L30" s="930">
        <v>0.2036</v>
      </c>
      <c r="M30" s="994">
        <v>6745.6751999999988</v>
      </c>
      <c r="O30" s="979">
        <v>0</v>
      </c>
      <c r="Q30" s="930">
        <v>38.684210526315788</v>
      </c>
      <c r="R30" s="930">
        <v>1.7611399999999999</v>
      </c>
      <c r="S30" s="994">
        <v>2588.8757999999998</v>
      </c>
      <c r="U30" s="930">
        <v>18.94736842105263</v>
      </c>
      <c r="V30" s="930">
        <v>0.2036</v>
      </c>
      <c r="W30" s="994">
        <v>146.59199999999998</v>
      </c>
      <c r="Y30" s="996">
        <v>0</v>
      </c>
      <c r="AA30" s="996">
        <v>0</v>
      </c>
      <c r="AC30" s="996">
        <v>0</v>
      </c>
      <c r="AE30" s="996">
        <v>0</v>
      </c>
      <c r="AG30" s="996">
        <v>0</v>
      </c>
      <c r="AH30" s="1014"/>
      <c r="AI30" s="979">
        <v>7076</v>
      </c>
      <c r="AJ30" s="998"/>
      <c r="AK30" s="979">
        <v>1428.8192782677086</v>
      </c>
      <c r="AL30" s="998"/>
      <c r="AM30" s="979">
        <v>-1428.8192782677086</v>
      </c>
      <c r="AO30" s="999">
        <v>115663.64</v>
      </c>
      <c r="AQ30" s="953">
        <v>102169.95870171444</v>
      </c>
      <c r="AS30" s="953">
        <v>13493.681298285563</v>
      </c>
      <c r="AU30" s="953">
        <v>24336</v>
      </c>
      <c r="AV30" s="930">
        <v>27810</v>
      </c>
      <c r="AW30" s="940">
        <v>3474</v>
      </c>
    </row>
    <row r="31" spans="1:49" ht="15.75" x14ac:dyDescent="0.25">
      <c r="A31" s="943" t="s">
        <v>15</v>
      </c>
      <c r="B31" s="930" t="s">
        <v>822</v>
      </c>
      <c r="C31" s="944">
        <v>2432</v>
      </c>
      <c r="D31" s="938">
        <v>0</v>
      </c>
      <c r="E31" s="939">
        <v>0</v>
      </c>
      <c r="F31" s="993">
        <v>0</v>
      </c>
      <c r="G31" s="930" t="s">
        <v>1075</v>
      </c>
      <c r="H31" s="897">
        <v>3.5636999999999999</v>
      </c>
      <c r="I31" s="979">
        <v>0</v>
      </c>
      <c r="K31" s="930">
        <v>0</v>
      </c>
      <c r="L31" s="930">
        <v>0.2036</v>
      </c>
      <c r="M31" s="994">
        <v>0</v>
      </c>
      <c r="O31" s="979">
        <v>0</v>
      </c>
      <c r="Q31" s="930">
        <v>0</v>
      </c>
      <c r="R31" s="930">
        <v>1.7611399999999999</v>
      </c>
      <c r="S31" s="994">
        <v>0</v>
      </c>
      <c r="U31" s="930">
        <v>0</v>
      </c>
      <c r="V31" s="930">
        <v>0.2036</v>
      </c>
      <c r="W31" s="994">
        <v>0</v>
      </c>
      <c r="Y31" s="996">
        <v>0</v>
      </c>
      <c r="AA31" s="996">
        <v>0</v>
      </c>
      <c r="AC31" s="996">
        <v>0</v>
      </c>
      <c r="AE31" s="996">
        <v>0</v>
      </c>
      <c r="AG31" s="996">
        <v>0</v>
      </c>
      <c r="AH31" s="1014"/>
      <c r="AI31" s="979">
        <v>0</v>
      </c>
      <c r="AJ31" s="998"/>
      <c r="AK31" s="979">
        <v>0</v>
      </c>
      <c r="AL31" s="998"/>
      <c r="AM31" s="979">
        <v>0</v>
      </c>
      <c r="AO31" s="999">
        <v>0</v>
      </c>
      <c r="AQ31" s="953">
        <v>0</v>
      </c>
      <c r="AS31" s="953">
        <v>0</v>
      </c>
      <c r="AU31" s="953">
        <v>0</v>
      </c>
      <c r="AV31" s="930">
        <v>0</v>
      </c>
      <c r="AW31" s="940">
        <v>0</v>
      </c>
    </row>
    <row r="32" spans="1:49" ht="15.75" x14ac:dyDescent="0.25">
      <c r="A32" s="943" t="s">
        <v>16</v>
      </c>
      <c r="B32" s="930" t="s">
        <v>823</v>
      </c>
      <c r="C32" s="944">
        <v>2446</v>
      </c>
      <c r="D32" s="938">
        <v>988</v>
      </c>
      <c r="E32" s="939">
        <v>29640</v>
      </c>
      <c r="F32" s="993">
        <v>29640</v>
      </c>
      <c r="G32" s="930" t="s">
        <v>1075</v>
      </c>
      <c r="H32" s="897">
        <v>3.5636999999999999</v>
      </c>
      <c r="I32" s="979">
        <v>105628.068</v>
      </c>
      <c r="K32" s="930">
        <v>1395</v>
      </c>
      <c r="L32" s="930">
        <v>0.2036</v>
      </c>
      <c r="M32" s="994">
        <v>10792.835999999999</v>
      </c>
      <c r="O32" s="979">
        <v>0</v>
      </c>
      <c r="Q32" s="930">
        <v>55.263157894736842</v>
      </c>
      <c r="R32" s="930">
        <v>1.7611399999999999</v>
      </c>
      <c r="S32" s="994">
        <v>3698.3939999999998</v>
      </c>
      <c r="U32" s="930">
        <v>48.94736842105263</v>
      </c>
      <c r="V32" s="930">
        <v>0.2036</v>
      </c>
      <c r="W32" s="994">
        <v>378.69600000000003</v>
      </c>
      <c r="Y32" s="996">
        <v>0</v>
      </c>
      <c r="AA32" s="996">
        <v>0</v>
      </c>
      <c r="AC32" s="996">
        <v>0</v>
      </c>
      <c r="AE32" s="996">
        <v>0</v>
      </c>
      <c r="AG32" s="996">
        <v>0</v>
      </c>
      <c r="AH32" s="1014"/>
      <c r="AI32" s="979">
        <v>297</v>
      </c>
      <c r="AJ32" s="998"/>
      <c r="AK32" s="979">
        <v>1522.8408273230809</v>
      </c>
      <c r="AL32" s="998"/>
      <c r="AM32" s="979">
        <v>-1522.8408273230809</v>
      </c>
      <c r="AO32" s="999">
        <v>120794.99399999999</v>
      </c>
      <c r="AQ32" s="953">
        <v>117902.5934</v>
      </c>
      <c r="AS32" s="953">
        <v>2892.4005999999936</v>
      </c>
      <c r="AU32" s="953">
        <v>29640</v>
      </c>
      <c r="AV32" s="930">
        <v>29640</v>
      </c>
      <c r="AW32" s="940">
        <v>0</v>
      </c>
    </row>
    <row r="33" spans="1:49" ht="15.75" x14ac:dyDescent="0.25">
      <c r="A33" s="943" t="s">
        <v>17</v>
      </c>
      <c r="B33" s="930" t="s">
        <v>824</v>
      </c>
      <c r="C33" s="944">
        <v>2447</v>
      </c>
      <c r="D33" s="938">
        <v>0</v>
      </c>
      <c r="E33" s="939">
        <v>0</v>
      </c>
      <c r="F33" s="993">
        <v>0</v>
      </c>
      <c r="G33" s="930" t="s">
        <v>1075</v>
      </c>
      <c r="H33" s="897">
        <v>3.5636999999999999</v>
      </c>
      <c r="I33" s="979">
        <v>0</v>
      </c>
      <c r="K33" s="930">
        <v>0</v>
      </c>
      <c r="L33" s="930">
        <v>0.2036</v>
      </c>
      <c r="M33" s="994">
        <v>0</v>
      </c>
      <c r="O33" s="979">
        <v>0</v>
      </c>
      <c r="Q33" s="930">
        <v>0</v>
      </c>
      <c r="R33" s="930">
        <v>1.7611399999999999</v>
      </c>
      <c r="S33" s="994">
        <v>0</v>
      </c>
      <c r="U33" s="930">
        <v>0</v>
      </c>
      <c r="V33" s="930">
        <v>0.2036</v>
      </c>
      <c r="W33" s="994">
        <v>0</v>
      </c>
      <c r="Y33" s="996">
        <v>0</v>
      </c>
      <c r="AA33" s="996">
        <v>0</v>
      </c>
      <c r="AC33" s="996">
        <v>0</v>
      </c>
      <c r="AE33" s="996">
        <v>0</v>
      </c>
      <c r="AG33" s="996">
        <v>0</v>
      </c>
      <c r="AH33" s="1014"/>
      <c r="AI33" s="979">
        <v>0</v>
      </c>
      <c r="AJ33" s="998"/>
      <c r="AK33" s="979">
        <v>0</v>
      </c>
      <c r="AL33" s="998"/>
      <c r="AM33" s="979">
        <v>0</v>
      </c>
      <c r="AO33" s="999">
        <v>0</v>
      </c>
      <c r="AQ33" s="953">
        <v>0</v>
      </c>
      <c r="AS33" s="953">
        <v>0</v>
      </c>
      <c r="AU33" s="953">
        <v>0</v>
      </c>
      <c r="AV33" s="930">
        <v>0</v>
      </c>
      <c r="AW33" s="940">
        <v>0</v>
      </c>
    </row>
    <row r="34" spans="1:49" ht="15.75" x14ac:dyDescent="0.25">
      <c r="A34" s="943" t="s">
        <v>18</v>
      </c>
      <c r="B34" s="930" t="s">
        <v>825</v>
      </c>
      <c r="C34" s="944">
        <v>2512</v>
      </c>
      <c r="D34" s="938">
        <v>570</v>
      </c>
      <c r="E34" s="939">
        <v>17100</v>
      </c>
      <c r="F34" s="993">
        <v>13860</v>
      </c>
      <c r="G34" s="930" t="s">
        <v>1075</v>
      </c>
      <c r="H34" s="897">
        <v>3.5636999999999999</v>
      </c>
      <c r="I34" s="979">
        <v>49392.881999999998</v>
      </c>
      <c r="K34" s="930">
        <v>105</v>
      </c>
      <c r="L34" s="930">
        <v>0.2036</v>
      </c>
      <c r="M34" s="994">
        <v>812.36400000000003</v>
      </c>
      <c r="O34" s="979">
        <v>0</v>
      </c>
      <c r="Q34" s="930">
        <v>4.7368421052631575</v>
      </c>
      <c r="R34" s="930">
        <v>1.7611399999999999</v>
      </c>
      <c r="S34" s="994">
        <v>317.00519999999995</v>
      </c>
      <c r="U34" s="930">
        <v>48.94736842105263</v>
      </c>
      <c r="V34" s="930">
        <v>0.2036</v>
      </c>
      <c r="W34" s="994">
        <v>378.69600000000003</v>
      </c>
      <c r="Y34" s="996">
        <v>0</v>
      </c>
      <c r="AA34" s="996">
        <v>0</v>
      </c>
      <c r="AC34" s="996">
        <v>0</v>
      </c>
      <c r="AE34" s="996">
        <v>0</v>
      </c>
      <c r="AG34" s="996">
        <v>0</v>
      </c>
      <c r="AH34" s="1014"/>
      <c r="AI34" s="979">
        <v>-2929</v>
      </c>
      <c r="AJ34" s="998"/>
      <c r="AK34" s="979">
        <v>712.09763382921403</v>
      </c>
      <c r="AL34" s="998"/>
      <c r="AM34" s="979">
        <v>-712.09763382921403</v>
      </c>
      <c r="AO34" s="999">
        <v>47971.947200000002</v>
      </c>
      <c r="AQ34" s="953">
        <v>56447.259630335408</v>
      </c>
      <c r="AS34" s="953">
        <v>-8475.3124303354052</v>
      </c>
      <c r="AT34" s="930" t="s">
        <v>1326</v>
      </c>
      <c r="AU34" s="953">
        <v>14880</v>
      </c>
      <c r="AV34" s="930">
        <v>13860</v>
      </c>
      <c r="AW34" s="940">
        <v>-1020</v>
      </c>
    </row>
    <row r="35" spans="1:49" ht="15.75" x14ac:dyDescent="0.25">
      <c r="A35" s="943" t="s">
        <v>19</v>
      </c>
      <c r="B35" s="930" t="s">
        <v>826</v>
      </c>
      <c r="C35" s="944">
        <v>2456</v>
      </c>
      <c r="D35" s="938">
        <v>988</v>
      </c>
      <c r="E35" s="939">
        <v>29640</v>
      </c>
      <c r="F35" s="993">
        <v>26340</v>
      </c>
      <c r="G35" s="930" t="s">
        <v>1075</v>
      </c>
      <c r="H35" s="897">
        <v>3.5636999999999999</v>
      </c>
      <c r="I35" s="979">
        <v>93867.857999999993</v>
      </c>
      <c r="K35" s="930">
        <v>193.42105263157896</v>
      </c>
      <c r="L35" s="930">
        <v>0.2036</v>
      </c>
      <c r="M35" s="994">
        <v>1496.46</v>
      </c>
      <c r="O35" s="979">
        <v>0</v>
      </c>
      <c r="Q35" s="930">
        <v>0</v>
      </c>
      <c r="R35" s="930">
        <v>1.7611399999999999</v>
      </c>
      <c r="S35" s="994">
        <v>0</v>
      </c>
      <c r="U35" s="930">
        <v>217.89473684210526</v>
      </c>
      <c r="V35" s="930">
        <v>0.2036</v>
      </c>
      <c r="W35" s="994">
        <v>1685.808</v>
      </c>
      <c r="Y35" s="996">
        <v>0</v>
      </c>
      <c r="AA35" s="996">
        <v>0</v>
      </c>
      <c r="AC35" s="996">
        <v>0</v>
      </c>
      <c r="AE35" s="996">
        <v>0</v>
      </c>
      <c r="AG35" s="996">
        <v>0</v>
      </c>
      <c r="AH35" s="1014"/>
      <c r="AI35" s="979">
        <v>-6137</v>
      </c>
      <c r="AJ35" s="998"/>
      <c r="AK35" s="979">
        <v>1353.2937716494587</v>
      </c>
      <c r="AL35" s="998"/>
      <c r="AM35" s="979">
        <v>-1353.2937716494587</v>
      </c>
      <c r="AO35" s="999">
        <v>90913.126000000004</v>
      </c>
      <c r="AQ35" s="953">
        <v>101451.56</v>
      </c>
      <c r="AS35" s="953">
        <v>-10538.433999999994</v>
      </c>
      <c r="AT35" s="930" t="s">
        <v>1326</v>
      </c>
      <c r="AU35" s="953">
        <v>28020</v>
      </c>
      <c r="AV35" s="930">
        <v>26340</v>
      </c>
      <c r="AW35" s="940">
        <v>-1680</v>
      </c>
    </row>
    <row r="36" spans="1:49" ht="15.75" x14ac:dyDescent="0.25">
      <c r="A36" s="943" t="s">
        <v>20</v>
      </c>
      <c r="B36" s="930" t="s">
        <v>827</v>
      </c>
      <c r="C36" s="944">
        <v>2449</v>
      </c>
      <c r="D36" s="938">
        <v>1482</v>
      </c>
      <c r="E36" s="939">
        <v>44460</v>
      </c>
      <c r="F36" s="993">
        <v>44280</v>
      </c>
      <c r="G36" s="930" t="s">
        <v>1075</v>
      </c>
      <c r="H36" s="897">
        <v>3.5636999999999999</v>
      </c>
      <c r="I36" s="979">
        <v>157800.636</v>
      </c>
      <c r="K36" s="930">
        <v>689.21052631578948</v>
      </c>
      <c r="L36" s="930">
        <v>0.2036</v>
      </c>
      <c r="M36" s="994">
        <v>5332.2839999999997</v>
      </c>
      <c r="O36" s="979">
        <v>0</v>
      </c>
      <c r="Q36" s="930">
        <v>50.526315789473685</v>
      </c>
      <c r="R36" s="930">
        <v>1.7611399999999999</v>
      </c>
      <c r="S36" s="994">
        <v>3381.3888000000002</v>
      </c>
      <c r="U36" s="930">
        <v>40.263157894736842</v>
      </c>
      <c r="V36" s="930">
        <v>0.2036</v>
      </c>
      <c r="W36" s="994">
        <v>311.50800000000004</v>
      </c>
      <c r="Y36" s="996">
        <v>0</v>
      </c>
      <c r="AA36" s="996">
        <v>0</v>
      </c>
      <c r="AC36" s="996">
        <v>0</v>
      </c>
      <c r="AE36" s="996">
        <v>0</v>
      </c>
      <c r="AG36" s="996">
        <v>0</v>
      </c>
      <c r="AH36" s="1014"/>
      <c r="AI36" s="979">
        <v>-2740</v>
      </c>
      <c r="AJ36" s="998"/>
      <c r="AK36" s="979">
        <v>2275.0132197660605</v>
      </c>
      <c r="AL36" s="998"/>
      <c r="AM36" s="979">
        <v>-2275.0132197660605</v>
      </c>
      <c r="AO36" s="999">
        <v>164085.81679999997</v>
      </c>
      <c r="AQ36" s="953">
        <v>163827.63519999999</v>
      </c>
      <c r="AS36" s="953">
        <v>258.1815999999817</v>
      </c>
      <c r="AT36" s="930" t="s">
        <v>1326</v>
      </c>
      <c r="AU36" s="953">
        <v>44280</v>
      </c>
      <c r="AV36" s="930">
        <v>44280</v>
      </c>
      <c r="AW36" s="940">
        <v>0</v>
      </c>
    </row>
    <row r="37" spans="1:49" ht="15.75" x14ac:dyDescent="0.25">
      <c r="A37" s="943" t="s">
        <v>21</v>
      </c>
      <c r="B37" s="930" t="s">
        <v>828</v>
      </c>
      <c r="C37" s="944">
        <v>2448</v>
      </c>
      <c r="D37" s="938">
        <v>0</v>
      </c>
      <c r="E37" s="939">
        <v>0</v>
      </c>
      <c r="F37" s="993">
        <v>0</v>
      </c>
      <c r="G37" s="930" t="s">
        <v>1075</v>
      </c>
      <c r="H37" s="897">
        <v>3.5636999999999999</v>
      </c>
      <c r="I37" s="979">
        <v>0</v>
      </c>
      <c r="K37" s="930">
        <v>0</v>
      </c>
      <c r="L37" s="930">
        <v>0.2036</v>
      </c>
      <c r="M37" s="994">
        <v>0</v>
      </c>
      <c r="O37" s="979">
        <v>0</v>
      </c>
      <c r="Q37" s="930">
        <v>0</v>
      </c>
      <c r="R37" s="930">
        <v>1.7611399999999999</v>
      </c>
      <c r="S37" s="994">
        <v>0</v>
      </c>
      <c r="U37" s="930">
        <v>0</v>
      </c>
      <c r="V37" s="930">
        <v>0.2036</v>
      </c>
      <c r="W37" s="994">
        <v>0</v>
      </c>
      <c r="Y37" s="996">
        <v>0</v>
      </c>
      <c r="AA37" s="996">
        <v>0</v>
      </c>
      <c r="AC37" s="996">
        <v>0</v>
      </c>
      <c r="AE37" s="996">
        <v>0</v>
      </c>
      <c r="AG37" s="996">
        <v>0</v>
      </c>
      <c r="AH37" s="1014"/>
      <c r="AI37" s="979">
        <v>0</v>
      </c>
      <c r="AJ37" s="998"/>
      <c r="AK37" s="979">
        <v>0</v>
      </c>
      <c r="AL37" s="998"/>
      <c r="AM37" s="979">
        <v>0</v>
      </c>
      <c r="AO37" s="999">
        <v>0</v>
      </c>
      <c r="AQ37" s="953">
        <v>0</v>
      </c>
      <c r="AS37" s="953">
        <v>0</v>
      </c>
      <c r="AU37" s="953">
        <v>0</v>
      </c>
      <c r="AV37" s="930">
        <v>0</v>
      </c>
      <c r="AW37" s="940">
        <v>0</v>
      </c>
    </row>
    <row r="38" spans="1:49" ht="15.75" x14ac:dyDescent="0.25">
      <c r="A38" s="943" t="s">
        <v>339</v>
      </c>
      <c r="B38" s="930" t="s">
        <v>829</v>
      </c>
      <c r="C38" s="944">
        <v>2467</v>
      </c>
      <c r="D38" s="938">
        <v>988</v>
      </c>
      <c r="E38" s="939">
        <v>29640</v>
      </c>
      <c r="F38" s="993">
        <v>27006</v>
      </c>
      <c r="G38" s="930" t="s">
        <v>1075</v>
      </c>
      <c r="H38" s="897">
        <v>3.5636999999999999</v>
      </c>
      <c r="I38" s="979">
        <v>96241.282200000001</v>
      </c>
      <c r="K38" s="930">
        <v>995.52631578947364</v>
      </c>
      <c r="L38" s="930">
        <v>0.2036</v>
      </c>
      <c r="M38" s="994">
        <v>7702.1880000000001</v>
      </c>
      <c r="O38" s="979">
        <v>0</v>
      </c>
      <c r="Q38" s="930">
        <v>33.94736842105263</v>
      </c>
      <c r="R38" s="930">
        <v>1.7611399999999999</v>
      </c>
      <c r="S38" s="994">
        <v>2271.8705999999997</v>
      </c>
      <c r="U38" s="930">
        <v>26.05263157894737</v>
      </c>
      <c r="V38" s="930">
        <v>0.2036</v>
      </c>
      <c r="W38" s="994">
        <v>201.56400000000002</v>
      </c>
      <c r="Y38" s="996">
        <v>0</v>
      </c>
      <c r="AA38" s="996">
        <v>0</v>
      </c>
      <c r="AC38" s="996">
        <v>0</v>
      </c>
      <c r="AE38" s="996">
        <v>0</v>
      </c>
      <c r="AG38" s="996">
        <v>0</v>
      </c>
      <c r="AH38" s="1014"/>
      <c r="AI38" s="979">
        <v>-2786</v>
      </c>
      <c r="AJ38" s="998"/>
      <c r="AK38" s="979">
        <v>1387.5114501581352</v>
      </c>
      <c r="AL38" s="998"/>
      <c r="AM38" s="979">
        <v>-1387.5114501581352</v>
      </c>
      <c r="AO38" s="999">
        <v>103630.90479999999</v>
      </c>
      <c r="AQ38" s="953">
        <v>109265.4534</v>
      </c>
      <c r="AS38" s="953">
        <v>-5634.5486000000092</v>
      </c>
      <c r="AT38" s="930" t="s">
        <v>1326</v>
      </c>
      <c r="AU38" s="953">
        <v>28110</v>
      </c>
      <c r="AV38" s="930">
        <v>27006</v>
      </c>
      <c r="AW38" s="940">
        <v>-1104</v>
      </c>
    </row>
    <row r="39" spans="1:49" ht="15.75" x14ac:dyDescent="0.25">
      <c r="A39" s="943" t="s">
        <v>24</v>
      </c>
      <c r="B39" s="930" t="s">
        <v>831</v>
      </c>
      <c r="C39" s="944">
        <v>2455</v>
      </c>
      <c r="D39" s="938">
        <v>0</v>
      </c>
      <c r="E39" s="939">
        <v>0</v>
      </c>
      <c r="F39" s="993">
        <v>0</v>
      </c>
      <c r="G39" s="930" t="s">
        <v>1075</v>
      </c>
      <c r="H39" s="897">
        <v>3.5636999999999999</v>
      </c>
      <c r="I39" s="979">
        <v>0</v>
      </c>
      <c r="K39" s="930">
        <v>0</v>
      </c>
      <c r="L39" s="930">
        <v>0.2036</v>
      </c>
      <c r="M39" s="994">
        <v>0</v>
      </c>
      <c r="O39" s="979">
        <v>0</v>
      </c>
      <c r="Q39" s="930">
        <v>0</v>
      </c>
      <c r="R39" s="930">
        <v>1.7611399999999999</v>
      </c>
      <c r="S39" s="994">
        <v>0</v>
      </c>
      <c r="U39" s="930">
        <v>0</v>
      </c>
      <c r="V39" s="930">
        <v>0.2036</v>
      </c>
      <c r="W39" s="994">
        <v>0</v>
      </c>
      <c r="Y39" s="996">
        <v>0</v>
      </c>
      <c r="AA39" s="996">
        <v>0</v>
      </c>
      <c r="AC39" s="996">
        <v>0</v>
      </c>
      <c r="AE39" s="996">
        <v>0</v>
      </c>
      <c r="AG39" s="996">
        <v>0</v>
      </c>
      <c r="AH39" s="1014"/>
      <c r="AI39" s="979">
        <v>0</v>
      </c>
      <c r="AJ39" s="998"/>
      <c r="AK39" s="979">
        <v>0</v>
      </c>
      <c r="AL39" s="998"/>
      <c r="AM39" s="979">
        <v>0</v>
      </c>
      <c r="AO39" s="999">
        <v>0</v>
      </c>
      <c r="AQ39" s="953">
        <v>0</v>
      </c>
      <c r="AS39" s="953">
        <v>0</v>
      </c>
      <c r="AU39" s="953">
        <v>0</v>
      </c>
      <c r="AV39" s="930">
        <v>0</v>
      </c>
      <c r="AW39" s="940">
        <v>0</v>
      </c>
    </row>
    <row r="40" spans="1:49" ht="15.75" x14ac:dyDescent="0.25">
      <c r="A40" s="943" t="s">
        <v>25</v>
      </c>
      <c r="B40" s="930" t="s">
        <v>832</v>
      </c>
      <c r="C40" s="944">
        <v>5203</v>
      </c>
      <c r="D40" s="938">
        <v>0</v>
      </c>
      <c r="E40" s="939">
        <v>0</v>
      </c>
      <c r="F40" s="993">
        <v>0</v>
      </c>
      <c r="G40" s="930" t="s">
        <v>1075</v>
      </c>
      <c r="H40" s="897">
        <v>3.5636999999999999</v>
      </c>
      <c r="I40" s="979">
        <v>0</v>
      </c>
      <c r="K40" s="930">
        <v>0</v>
      </c>
      <c r="L40" s="930">
        <v>0.2036</v>
      </c>
      <c r="M40" s="994">
        <v>0</v>
      </c>
      <c r="O40" s="979">
        <v>0</v>
      </c>
      <c r="Q40" s="930">
        <v>0</v>
      </c>
      <c r="R40" s="930">
        <v>1.7611399999999999</v>
      </c>
      <c r="S40" s="994">
        <v>0</v>
      </c>
      <c r="U40" s="930">
        <v>0</v>
      </c>
      <c r="V40" s="930">
        <v>0.2036</v>
      </c>
      <c r="W40" s="994">
        <v>0</v>
      </c>
      <c r="Y40" s="996">
        <v>0</v>
      </c>
      <c r="AA40" s="996">
        <v>0</v>
      </c>
      <c r="AC40" s="996">
        <v>0</v>
      </c>
      <c r="AE40" s="996">
        <v>0</v>
      </c>
      <c r="AG40" s="996">
        <v>0</v>
      </c>
      <c r="AH40" s="1014"/>
      <c r="AI40" s="979">
        <v>0</v>
      </c>
      <c r="AJ40" s="998"/>
      <c r="AK40" s="979">
        <v>0</v>
      </c>
      <c r="AL40" s="998"/>
      <c r="AM40" s="979">
        <v>0</v>
      </c>
      <c r="AO40" s="999">
        <v>0</v>
      </c>
      <c r="AQ40" s="953">
        <v>0</v>
      </c>
      <c r="AS40" s="953">
        <v>0</v>
      </c>
      <c r="AU40" s="953">
        <v>0</v>
      </c>
      <c r="AV40" s="930">
        <v>0</v>
      </c>
      <c r="AW40" s="940">
        <v>0</v>
      </c>
    </row>
    <row r="41" spans="1:49" ht="15.75" x14ac:dyDescent="0.25">
      <c r="A41" s="943" t="s">
        <v>26</v>
      </c>
      <c r="B41" s="930" t="s">
        <v>833</v>
      </c>
      <c r="C41" s="944">
        <v>2451</v>
      </c>
      <c r="D41" s="938">
        <v>988</v>
      </c>
      <c r="E41" s="939">
        <v>29640</v>
      </c>
      <c r="F41" s="993">
        <v>29640</v>
      </c>
      <c r="G41" s="930" t="s">
        <v>1075</v>
      </c>
      <c r="H41" s="897">
        <v>3.5636999999999999</v>
      </c>
      <c r="I41" s="979">
        <v>105628.068</v>
      </c>
      <c r="K41" s="930">
        <v>687.15789473684208</v>
      </c>
      <c r="L41" s="930">
        <v>0.2036</v>
      </c>
      <c r="M41" s="994">
        <v>5316.4031999999997</v>
      </c>
      <c r="O41" s="979">
        <v>0</v>
      </c>
      <c r="Q41" s="930">
        <v>38.684210526315788</v>
      </c>
      <c r="R41" s="930">
        <v>1.7611399999999999</v>
      </c>
      <c r="S41" s="994">
        <v>2588.8757999999998</v>
      </c>
      <c r="U41" s="930">
        <v>9.3157894736842106</v>
      </c>
      <c r="V41" s="930">
        <v>0.2036</v>
      </c>
      <c r="W41" s="994">
        <v>72.074399999999997</v>
      </c>
      <c r="Y41" s="996">
        <v>0</v>
      </c>
      <c r="AA41" s="996">
        <v>0</v>
      </c>
      <c r="AC41" s="996">
        <v>0</v>
      </c>
      <c r="AE41" s="996">
        <v>0</v>
      </c>
      <c r="AG41" s="996">
        <v>0</v>
      </c>
      <c r="AH41" s="1014"/>
      <c r="AI41" s="979">
        <v>-5373</v>
      </c>
      <c r="AJ41" s="998"/>
      <c r="AK41" s="979">
        <v>1522.8408273230809</v>
      </c>
      <c r="AL41" s="998"/>
      <c r="AM41" s="979">
        <v>-1522.8408273230809</v>
      </c>
      <c r="AO41" s="999">
        <v>108232.42139999999</v>
      </c>
      <c r="AQ41" s="953">
        <v>114332.50379999999</v>
      </c>
      <c r="AS41" s="953">
        <v>-6100.0823999999993</v>
      </c>
      <c r="AU41" s="953">
        <v>29442</v>
      </c>
      <c r="AV41" s="930">
        <v>29640</v>
      </c>
      <c r="AW41" s="940">
        <v>198</v>
      </c>
    </row>
    <row r="42" spans="1:49" ht="15.75" x14ac:dyDescent="0.25">
      <c r="A42" s="943" t="s">
        <v>27</v>
      </c>
      <c r="B42" s="930" t="s">
        <v>834</v>
      </c>
      <c r="C42" s="944">
        <v>2409</v>
      </c>
      <c r="D42" s="938">
        <v>0</v>
      </c>
      <c r="E42" s="939">
        <v>0</v>
      </c>
      <c r="F42" s="993">
        <v>0</v>
      </c>
      <c r="G42" s="930" t="s">
        <v>1075</v>
      </c>
      <c r="H42" s="897">
        <v>3.5636999999999999</v>
      </c>
      <c r="I42" s="979">
        <v>0</v>
      </c>
      <c r="K42" s="930">
        <v>0</v>
      </c>
      <c r="L42" s="930">
        <v>0.2036</v>
      </c>
      <c r="M42" s="994">
        <v>0</v>
      </c>
      <c r="O42" s="979">
        <v>0</v>
      </c>
      <c r="Q42" s="930">
        <v>0</v>
      </c>
      <c r="R42" s="930">
        <v>1.7611399999999999</v>
      </c>
      <c r="S42" s="994">
        <v>0</v>
      </c>
      <c r="U42" s="930">
        <v>0</v>
      </c>
      <c r="V42" s="930">
        <v>0.2036</v>
      </c>
      <c r="W42" s="994">
        <v>0</v>
      </c>
      <c r="Y42" s="996">
        <v>0</v>
      </c>
      <c r="AA42" s="996">
        <v>0</v>
      </c>
      <c r="AC42" s="996">
        <v>0</v>
      </c>
      <c r="AE42" s="996">
        <v>0</v>
      </c>
      <c r="AG42" s="996">
        <v>0</v>
      </c>
      <c r="AH42" s="1014"/>
      <c r="AI42" s="979">
        <v>0</v>
      </c>
      <c r="AJ42" s="998"/>
      <c r="AK42" s="979">
        <v>0</v>
      </c>
      <c r="AL42" s="998"/>
      <c r="AM42" s="979">
        <v>0</v>
      </c>
      <c r="AO42" s="999">
        <v>0</v>
      </c>
      <c r="AQ42" s="953">
        <v>0</v>
      </c>
      <c r="AS42" s="953">
        <v>0</v>
      </c>
      <c r="AU42" s="953">
        <v>0</v>
      </c>
      <c r="AV42" s="930">
        <v>0</v>
      </c>
      <c r="AW42" s="940">
        <v>0</v>
      </c>
    </row>
    <row r="43" spans="1:49" ht="15.75" x14ac:dyDescent="0.25">
      <c r="A43" s="943" t="s">
        <v>29</v>
      </c>
      <c r="B43" s="930" t="s">
        <v>835</v>
      </c>
      <c r="C43" s="944">
        <v>2619</v>
      </c>
      <c r="D43" s="938">
        <v>1482</v>
      </c>
      <c r="E43" s="939">
        <v>44460</v>
      </c>
      <c r="F43" s="993">
        <v>19368</v>
      </c>
      <c r="G43" s="930" t="s">
        <v>1075</v>
      </c>
      <c r="H43" s="897">
        <v>3.5636999999999999</v>
      </c>
      <c r="I43" s="979">
        <v>69021.741599999994</v>
      </c>
      <c r="K43" s="930">
        <v>1212.7894736842104</v>
      </c>
      <c r="L43" s="930">
        <v>0.2036</v>
      </c>
      <c r="M43" s="994">
        <v>9383.1095999999998</v>
      </c>
      <c r="O43" s="979">
        <v>0</v>
      </c>
      <c r="Q43" s="930">
        <v>24.473684210526315</v>
      </c>
      <c r="R43" s="930">
        <v>1.7611399999999999</v>
      </c>
      <c r="S43" s="994">
        <v>1637.8601999999998</v>
      </c>
      <c r="U43" s="930">
        <v>24.473684210526315</v>
      </c>
      <c r="V43" s="930">
        <v>0.2036</v>
      </c>
      <c r="W43" s="994">
        <v>189.34800000000001</v>
      </c>
      <c r="Y43" s="996">
        <v>0</v>
      </c>
      <c r="AA43" s="996">
        <v>0</v>
      </c>
      <c r="AC43" s="996">
        <v>0</v>
      </c>
      <c r="AE43" s="996">
        <v>0</v>
      </c>
      <c r="AG43" s="996">
        <v>0</v>
      </c>
      <c r="AH43" s="1014"/>
      <c r="AI43" s="979">
        <v>-14208</v>
      </c>
      <c r="AJ43" s="998"/>
      <c r="AK43" s="979">
        <v>995.08708311718738</v>
      </c>
      <c r="AL43" s="998"/>
      <c r="AM43" s="979">
        <v>-995.08708311718738</v>
      </c>
      <c r="AO43" s="999">
        <v>66024.059399999984</v>
      </c>
      <c r="AQ43" s="953">
        <v>84390.865399999995</v>
      </c>
      <c r="AS43" s="953">
        <v>-18366.806000000011</v>
      </c>
      <c r="AT43" s="930" t="s">
        <v>1326</v>
      </c>
      <c r="AU43" s="953">
        <v>20520</v>
      </c>
      <c r="AV43" s="930">
        <v>19368</v>
      </c>
      <c r="AW43" s="940">
        <v>-1152</v>
      </c>
    </row>
    <row r="44" spans="1:49" ht="15.75" x14ac:dyDescent="0.25">
      <c r="A44" s="943" t="s">
        <v>30</v>
      </c>
      <c r="B44" s="930" t="s">
        <v>836</v>
      </c>
      <c r="C44" s="944">
        <v>2518</v>
      </c>
      <c r="D44" s="938">
        <v>1482</v>
      </c>
      <c r="E44" s="939">
        <v>44460</v>
      </c>
      <c r="F44" s="993">
        <v>17190</v>
      </c>
      <c r="G44" s="930" t="s">
        <v>1075</v>
      </c>
      <c r="H44" s="897">
        <v>3.5636999999999999</v>
      </c>
      <c r="I44" s="979">
        <v>61260.002999999997</v>
      </c>
      <c r="K44" s="930">
        <v>863.68421052631584</v>
      </c>
      <c r="L44" s="930">
        <v>0.2036</v>
      </c>
      <c r="M44" s="994">
        <v>6682.152000000001</v>
      </c>
      <c r="O44" s="979">
        <v>0</v>
      </c>
      <c r="Q44" s="930">
        <v>34.736842105263158</v>
      </c>
      <c r="R44" s="930">
        <v>1.7611399999999999</v>
      </c>
      <c r="S44" s="994">
        <v>2324.7048</v>
      </c>
      <c r="U44" s="930">
        <v>181.57894736842104</v>
      </c>
      <c r="V44" s="930">
        <v>0.2036</v>
      </c>
      <c r="W44" s="994">
        <v>1404.8400000000001</v>
      </c>
      <c r="Y44" s="996">
        <v>0</v>
      </c>
      <c r="AA44" s="996">
        <v>0</v>
      </c>
      <c r="AC44" s="996">
        <v>0</v>
      </c>
      <c r="AE44" s="996">
        <v>0</v>
      </c>
      <c r="AG44" s="996">
        <v>0</v>
      </c>
      <c r="AH44" s="1014"/>
      <c r="AI44" s="979">
        <v>2360</v>
      </c>
      <c r="AJ44" s="998"/>
      <c r="AK44" s="979">
        <v>883.18602637259664</v>
      </c>
      <c r="AL44" s="998"/>
      <c r="AM44" s="979">
        <v>-883.18602637259664</v>
      </c>
      <c r="AO44" s="999">
        <v>74031.699800000002</v>
      </c>
      <c r="AQ44" s="953">
        <v>68365.690197293472</v>
      </c>
      <c r="AS44" s="953">
        <v>5666.0096027065301</v>
      </c>
      <c r="AU44" s="953">
        <v>16560</v>
      </c>
      <c r="AV44" s="930">
        <v>17190</v>
      </c>
      <c r="AW44" s="940">
        <v>630</v>
      </c>
    </row>
    <row r="45" spans="1:49" ht="15.75" x14ac:dyDescent="0.25">
      <c r="A45" s="943" t="s">
        <v>31</v>
      </c>
      <c r="B45" s="930" t="s">
        <v>837</v>
      </c>
      <c r="C45" s="944">
        <v>2457</v>
      </c>
      <c r="D45" s="938">
        <v>0</v>
      </c>
      <c r="E45" s="939">
        <v>0</v>
      </c>
      <c r="F45" s="993">
        <v>0</v>
      </c>
      <c r="G45" s="930" t="s">
        <v>1075</v>
      </c>
      <c r="H45" s="897">
        <v>3.5636999999999999</v>
      </c>
      <c r="I45" s="979">
        <v>0</v>
      </c>
      <c r="K45" s="930">
        <v>0</v>
      </c>
      <c r="L45" s="930">
        <v>0.2036</v>
      </c>
      <c r="M45" s="994">
        <v>0</v>
      </c>
      <c r="O45" s="979">
        <v>0</v>
      </c>
      <c r="Q45" s="930">
        <v>0</v>
      </c>
      <c r="R45" s="930">
        <v>1.7611399999999999</v>
      </c>
      <c r="S45" s="994">
        <v>0</v>
      </c>
      <c r="U45" s="930">
        <v>0</v>
      </c>
      <c r="V45" s="930">
        <v>0.2036</v>
      </c>
      <c r="W45" s="994">
        <v>0</v>
      </c>
      <c r="Y45" s="996">
        <v>0</v>
      </c>
      <c r="AA45" s="996">
        <v>0</v>
      </c>
      <c r="AC45" s="996">
        <v>0</v>
      </c>
      <c r="AE45" s="996">
        <v>0</v>
      </c>
      <c r="AG45" s="996">
        <v>0</v>
      </c>
      <c r="AH45" s="1014"/>
      <c r="AI45" s="979">
        <v>0</v>
      </c>
      <c r="AJ45" s="998"/>
      <c r="AK45" s="979">
        <v>0</v>
      </c>
      <c r="AL45" s="998"/>
      <c r="AM45" s="979">
        <v>0</v>
      </c>
      <c r="AO45" s="999">
        <v>0</v>
      </c>
      <c r="AQ45" s="953">
        <v>0</v>
      </c>
      <c r="AS45" s="953">
        <v>0</v>
      </c>
      <c r="AU45" s="953">
        <v>0</v>
      </c>
      <c r="AV45" s="930">
        <v>0</v>
      </c>
      <c r="AW45" s="940">
        <v>0</v>
      </c>
    </row>
    <row r="46" spans="1:49" ht="15.75" x14ac:dyDescent="0.25">
      <c r="A46" s="943" t="s">
        <v>32</v>
      </c>
      <c r="B46" s="930" t="s">
        <v>838</v>
      </c>
      <c r="C46" s="944">
        <v>2515</v>
      </c>
      <c r="D46" s="938">
        <v>988</v>
      </c>
      <c r="E46" s="939">
        <v>29640</v>
      </c>
      <c r="F46" s="993">
        <v>22980</v>
      </c>
      <c r="G46" s="930" t="s">
        <v>1075</v>
      </c>
      <c r="H46" s="897">
        <v>3.5636999999999999</v>
      </c>
      <c r="I46" s="979">
        <v>81893.826000000001</v>
      </c>
      <c r="K46" s="930">
        <v>1544.2105263157896</v>
      </c>
      <c r="L46" s="930">
        <v>0.2036</v>
      </c>
      <c r="M46" s="994">
        <v>11947.248000000001</v>
      </c>
      <c r="O46" s="979">
        <v>0</v>
      </c>
      <c r="Q46" s="930">
        <v>15</v>
      </c>
      <c r="R46" s="930">
        <v>1.7611399999999999</v>
      </c>
      <c r="S46" s="994">
        <v>1003.8498</v>
      </c>
      <c r="U46" s="930">
        <v>138.15789473684211</v>
      </c>
      <c r="V46" s="930">
        <v>0.2036</v>
      </c>
      <c r="W46" s="994">
        <v>1068.9000000000001</v>
      </c>
      <c r="Y46" s="996">
        <v>0</v>
      </c>
      <c r="AA46" s="996">
        <v>0</v>
      </c>
      <c r="AC46" s="996">
        <v>0</v>
      </c>
      <c r="AE46" s="996">
        <v>0</v>
      </c>
      <c r="AG46" s="996">
        <v>0</v>
      </c>
      <c r="AH46" s="1014"/>
      <c r="AI46" s="979">
        <v>0</v>
      </c>
      <c r="AJ46" s="998"/>
      <c r="AK46" s="979">
        <v>1180.6640422363159</v>
      </c>
      <c r="AL46" s="998"/>
      <c r="AM46" s="1015">
        <v>0</v>
      </c>
      <c r="AO46" s="999">
        <v>97094.487842236311</v>
      </c>
      <c r="AQ46" s="953">
        <v>100957.81045160901</v>
      </c>
      <c r="AS46" s="953">
        <v>-3863.3226093726989</v>
      </c>
      <c r="AU46" s="953">
        <v>22590</v>
      </c>
      <c r="AV46" s="930">
        <v>22980</v>
      </c>
      <c r="AW46" s="940">
        <v>390</v>
      </c>
    </row>
    <row r="47" spans="1:49" ht="15.75" x14ac:dyDescent="0.25">
      <c r="A47" s="943" t="s">
        <v>33</v>
      </c>
      <c r="B47" s="930" t="s">
        <v>839</v>
      </c>
      <c r="C47" s="944">
        <v>2002</v>
      </c>
      <c r="D47" s="938">
        <v>988</v>
      </c>
      <c r="E47" s="939">
        <v>29640</v>
      </c>
      <c r="F47" s="993">
        <v>29070</v>
      </c>
      <c r="G47" s="930" t="s">
        <v>1075</v>
      </c>
      <c r="H47" s="897">
        <v>3.5636999999999999</v>
      </c>
      <c r="I47" s="979">
        <v>103596.75899999999</v>
      </c>
      <c r="K47" s="930">
        <v>52.89473684210526</v>
      </c>
      <c r="L47" s="930">
        <v>0.2036</v>
      </c>
      <c r="M47" s="994">
        <v>409.23599999999999</v>
      </c>
      <c r="O47" s="979">
        <v>0</v>
      </c>
      <c r="Q47" s="930">
        <v>5.5263157894736841</v>
      </c>
      <c r="R47" s="930">
        <v>1.7611399999999999</v>
      </c>
      <c r="S47" s="994">
        <v>369.83939999999996</v>
      </c>
      <c r="U47" s="930">
        <v>15</v>
      </c>
      <c r="V47" s="930">
        <v>0.2036</v>
      </c>
      <c r="W47" s="994">
        <v>116.05200000000001</v>
      </c>
      <c r="Y47" s="996">
        <v>0</v>
      </c>
      <c r="AA47" s="996">
        <v>0</v>
      </c>
      <c r="AC47" s="996">
        <v>0</v>
      </c>
      <c r="AE47" s="996">
        <v>0</v>
      </c>
      <c r="AG47" s="996">
        <v>0</v>
      </c>
      <c r="AH47" s="1014"/>
      <c r="AI47" s="979">
        <v>3273</v>
      </c>
      <c r="AJ47" s="998"/>
      <c r="AK47" s="979">
        <v>1493.5554267976372</v>
      </c>
      <c r="AL47" s="998"/>
      <c r="AM47" s="979">
        <v>-1493.5554267976372</v>
      </c>
      <c r="AO47" s="999">
        <v>107764.88639999999</v>
      </c>
      <c r="AQ47" s="953">
        <v>99190.311999999991</v>
      </c>
      <c r="AS47" s="953">
        <v>8574.5743999999977</v>
      </c>
      <c r="AU47" s="953">
        <v>28170</v>
      </c>
      <c r="AV47" s="930">
        <v>29070</v>
      </c>
      <c r="AW47" s="940">
        <v>900</v>
      </c>
    </row>
    <row r="48" spans="1:49" ht="15.75" x14ac:dyDescent="0.25">
      <c r="A48" s="943" t="s">
        <v>34</v>
      </c>
      <c r="B48" s="930" t="s">
        <v>840</v>
      </c>
      <c r="C48" s="944">
        <v>3544</v>
      </c>
      <c r="D48" s="938">
        <v>1140</v>
      </c>
      <c r="E48" s="939">
        <v>34200</v>
      </c>
      <c r="F48" s="993">
        <v>30300</v>
      </c>
      <c r="G48" s="930" t="s">
        <v>1075</v>
      </c>
      <c r="H48" s="897">
        <v>3.5636999999999999</v>
      </c>
      <c r="I48" s="979">
        <v>107980.11</v>
      </c>
      <c r="K48" s="930">
        <v>2341.5789473684208</v>
      </c>
      <c r="L48" s="930">
        <v>0.2036</v>
      </c>
      <c r="M48" s="994">
        <v>18116.327999999998</v>
      </c>
      <c r="O48" s="979">
        <v>0</v>
      </c>
      <c r="Q48" s="930">
        <v>20.526315789473685</v>
      </c>
      <c r="R48" s="930">
        <v>1.7611399999999999</v>
      </c>
      <c r="S48" s="994">
        <v>1373.6891999999998</v>
      </c>
      <c r="U48" s="930">
        <v>572.36842105263156</v>
      </c>
      <c r="V48" s="930">
        <v>0.2036</v>
      </c>
      <c r="W48" s="994">
        <v>4428.3</v>
      </c>
      <c r="Y48" s="996">
        <v>0</v>
      </c>
      <c r="AA48" s="996">
        <v>0</v>
      </c>
      <c r="AC48" s="996">
        <v>0</v>
      </c>
      <c r="AE48" s="996">
        <v>0</v>
      </c>
      <c r="AG48" s="996">
        <v>0</v>
      </c>
      <c r="AH48" s="1014"/>
      <c r="AI48" s="979">
        <v>-12351</v>
      </c>
      <c r="AJ48" s="998"/>
      <c r="AK48" s="979">
        <v>1556.7502384578056</v>
      </c>
      <c r="AL48" s="998"/>
      <c r="AM48" s="979">
        <v>-1556.7502384578056</v>
      </c>
      <c r="AO48" s="999">
        <v>119547.42719999998</v>
      </c>
      <c r="AQ48" s="953">
        <v>138837.6018</v>
      </c>
      <c r="AS48" s="953">
        <v>-19290.174600000028</v>
      </c>
      <c r="AU48" s="953">
        <v>31920</v>
      </c>
      <c r="AV48" s="930">
        <v>30300</v>
      </c>
      <c r="AW48" s="940">
        <v>-1620</v>
      </c>
    </row>
    <row r="49" spans="1:49" ht="15.75" x14ac:dyDescent="0.25">
      <c r="A49" s="943" t="s">
        <v>314</v>
      </c>
      <c r="B49" s="930" t="s">
        <v>841</v>
      </c>
      <c r="C49" s="944">
        <v>2006</v>
      </c>
      <c r="D49" s="938">
        <v>988</v>
      </c>
      <c r="E49" s="939">
        <v>29640</v>
      </c>
      <c r="F49" s="993">
        <v>28380</v>
      </c>
      <c r="G49" s="930" t="s">
        <v>1075</v>
      </c>
      <c r="H49" s="897">
        <v>3.5636999999999999</v>
      </c>
      <c r="I49" s="979">
        <v>101137.806</v>
      </c>
      <c r="K49" s="930">
        <v>122.52631578947367</v>
      </c>
      <c r="L49" s="930">
        <v>0.2036</v>
      </c>
      <c r="M49" s="994">
        <v>947.96159999999986</v>
      </c>
      <c r="O49" s="979">
        <v>0</v>
      </c>
      <c r="Q49" s="930">
        <v>0</v>
      </c>
      <c r="R49" s="930">
        <v>1.7611399999999999</v>
      </c>
      <c r="S49" s="994">
        <v>0</v>
      </c>
      <c r="U49" s="930">
        <v>23.684210526315791</v>
      </c>
      <c r="V49" s="930">
        <v>0.2036</v>
      </c>
      <c r="W49" s="994">
        <v>183.24</v>
      </c>
      <c r="Y49" s="996">
        <v>0</v>
      </c>
      <c r="AA49" s="996">
        <v>0</v>
      </c>
      <c r="AC49" s="996">
        <v>0</v>
      </c>
      <c r="AE49" s="996">
        <v>0</v>
      </c>
      <c r="AG49" s="996">
        <v>0</v>
      </c>
      <c r="AH49" s="1014"/>
      <c r="AI49" s="979">
        <v>2173</v>
      </c>
      <c r="AJ49" s="998"/>
      <c r="AK49" s="979">
        <v>1458.1046787931525</v>
      </c>
      <c r="AL49" s="998"/>
      <c r="AM49" s="979">
        <v>-1458.1046787931525</v>
      </c>
      <c r="AO49" s="999">
        <v>104442.0076</v>
      </c>
      <c r="AQ49" s="953">
        <v>99811.261307876324</v>
      </c>
      <c r="AS49" s="953">
        <v>4630.7462921236729</v>
      </c>
      <c r="AU49" s="953">
        <v>27144</v>
      </c>
      <c r="AV49" s="930">
        <v>28380</v>
      </c>
      <c r="AW49" s="940">
        <v>1236</v>
      </c>
    </row>
    <row r="50" spans="1:49" ht="15.75" x14ac:dyDescent="0.25">
      <c r="A50" s="943" t="s">
        <v>36</v>
      </c>
      <c r="B50" s="930" t="s">
        <v>842</v>
      </c>
      <c r="C50" s="944">
        <v>2434</v>
      </c>
      <c r="D50" s="938">
        <v>1976</v>
      </c>
      <c r="E50" s="939">
        <v>59280</v>
      </c>
      <c r="F50" s="993">
        <v>52740</v>
      </c>
      <c r="G50" s="930" t="s">
        <v>1075</v>
      </c>
      <c r="H50" s="897">
        <v>3.5636999999999999</v>
      </c>
      <c r="I50" s="979">
        <v>187949.538</v>
      </c>
      <c r="K50" s="930">
        <v>2850.7894736842104</v>
      </c>
      <c r="L50" s="930">
        <v>0.2036</v>
      </c>
      <c r="M50" s="994">
        <v>22055.988000000001</v>
      </c>
      <c r="O50" s="979">
        <v>0</v>
      </c>
      <c r="Q50" s="930">
        <v>70.263157894736835</v>
      </c>
      <c r="R50" s="930">
        <v>1.7611399999999999</v>
      </c>
      <c r="S50" s="994">
        <v>4702.2437999999993</v>
      </c>
      <c r="U50" s="930">
        <v>93.15789473684211</v>
      </c>
      <c r="V50" s="930">
        <v>0.2036</v>
      </c>
      <c r="W50" s="994">
        <v>720.74400000000003</v>
      </c>
      <c r="Y50" s="996">
        <v>0</v>
      </c>
      <c r="AA50" s="996">
        <v>0</v>
      </c>
      <c r="AC50" s="996">
        <v>0</v>
      </c>
      <c r="AE50" s="996">
        <v>0</v>
      </c>
      <c r="AG50" s="996">
        <v>0</v>
      </c>
      <c r="AH50" s="1014"/>
      <c r="AI50" s="979">
        <v>-23399</v>
      </c>
      <c r="AJ50" s="998"/>
      <c r="AK50" s="979">
        <v>2709.6702170384378</v>
      </c>
      <c r="AL50" s="998"/>
      <c r="AM50" s="979">
        <v>-2709.6702170384378</v>
      </c>
      <c r="AO50" s="999">
        <v>192029.51380000002</v>
      </c>
      <c r="AQ50" s="953">
        <v>235230.72939999998</v>
      </c>
      <c r="AS50" s="953">
        <v>-43201.215599999967</v>
      </c>
      <c r="AT50" s="930" t="s">
        <v>1326</v>
      </c>
      <c r="AU50" s="953">
        <v>59280</v>
      </c>
      <c r="AV50" s="930">
        <v>52740</v>
      </c>
      <c r="AW50" s="940">
        <v>-6540</v>
      </c>
    </row>
    <row r="51" spans="1:49" ht="15.75" x14ac:dyDescent="0.25">
      <c r="A51" s="943" t="s">
        <v>37</v>
      </c>
      <c r="B51" s="930" t="s">
        <v>843</v>
      </c>
      <c r="C51" s="944">
        <v>2522</v>
      </c>
      <c r="D51" s="938">
        <v>0</v>
      </c>
      <c r="E51" s="939">
        <v>0</v>
      </c>
      <c r="F51" s="993">
        <v>0</v>
      </c>
      <c r="G51" s="930" t="s">
        <v>1075</v>
      </c>
      <c r="H51" s="897">
        <v>3.5636999999999999</v>
      </c>
      <c r="I51" s="979">
        <v>0</v>
      </c>
      <c r="K51" s="930">
        <v>0</v>
      </c>
      <c r="L51" s="930">
        <v>0.2036</v>
      </c>
      <c r="M51" s="994">
        <v>0</v>
      </c>
      <c r="O51" s="979">
        <v>0</v>
      </c>
      <c r="Q51" s="930">
        <v>0</v>
      </c>
      <c r="R51" s="930">
        <v>1.7611399999999999</v>
      </c>
      <c r="S51" s="994">
        <v>0</v>
      </c>
      <c r="U51" s="930">
        <v>0</v>
      </c>
      <c r="V51" s="930">
        <v>0.2036</v>
      </c>
      <c r="W51" s="994">
        <v>0</v>
      </c>
      <c r="Y51" s="996">
        <v>0</v>
      </c>
      <c r="AA51" s="996">
        <v>0</v>
      </c>
      <c r="AC51" s="996">
        <v>0</v>
      </c>
      <c r="AE51" s="996">
        <v>0</v>
      </c>
      <c r="AG51" s="996">
        <v>0</v>
      </c>
      <c r="AH51" s="1014"/>
      <c r="AI51" s="979">
        <v>0</v>
      </c>
      <c r="AJ51" s="998"/>
      <c r="AK51" s="979">
        <v>0</v>
      </c>
      <c r="AL51" s="998"/>
      <c r="AM51" s="979">
        <v>0</v>
      </c>
      <c r="AO51" s="999">
        <v>0</v>
      </c>
      <c r="AQ51" s="953">
        <v>0</v>
      </c>
      <c r="AS51" s="953">
        <v>0</v>
      </c>
      <c r="AU51" s="953">
        <v>0</v>
      </c>
      <c r="AV51" s="930">
        <v>0</v>
      </c>
      <c r="AW51" s="940">
        <v>0</v>
      </c>
    </row>
    <row r="52" spans="1:49" ht="15.75" x14ac:dyDescent="0.25">
      <c r="A52" s="943" t="s">
        <v>38</v>
      </c>
      <c r="B52" s="930" t="s">
        <v>844</v>
      </c>
      <c r="C52" s="944">
        <v>2436</v>
      </c>
      <c r="D52" s="938">
        <v>0</v>
      </c>
      <c r="E52" s="939">
        <v>0</v>
      </c>
      <c r="F52" s="993">
        <v>0</v>
      </c>
      <c r="G52" s="930" t="s">
        <v>1075</v>
      </c>
      <c r="H52" s="897">
        <v>3.5636999999999999</v>
      </c>
      <c r="I52" s="979">
        <v>0</v>
      </c>
      <c r="K52" s="930">
        <v>0</v>
      </c>
      <c r="L52" s="930">
        <v>0.2036</v>
      </c>
      <c r="M52" s="994">
        <v>0</v>
      </c>
      <c r="O52" s="979">
        <v>0</v>
      </c>
      <c r="Q52" s="930">
        <v>0</v>
      </c>
      <c r="R52" s="930">
        <v>1.7611399999999999</v>
      </c>
      <c r="S52" s="994">
        <v>0</v>
      </c>
      <c r="U52" s="930">
        <v>0</v>
      </c>
      <c r="V52" s="930">
        <v>0.2036</v>
      </c>
      <c r="W52" s="994">
        <v>0</v>
      </c>
      <c r="Y52" s="996">
        <v>0</v>
      </c>
      <c r="AA52" s="996">
        <v>0</v>
      </c>
      <c r="AC52" s="996">
        <v>0</v>
      </c>
      <c r="AE52" s="996">
        <v>0</v>
      </c>
      <c r="AG52" s="996">
        <v>0</v>
      </c>
      <c r="AH52" s="1014"/>
      <c r="AI52" s="979">
        <v>0</v>
      </c>
      <c r="AJ52" s="998"/>
      <c r="AK52" s="979">
        <v>0</v>
      </c>
      <c r="AL52" s="998"/>
      <c r="AM52" s="979">
        <v>0</v>
      </c>
      <c r="AO52" s="999">
        <v>0</v>
      </c>
      <c r="AQ52" s="953">
        <v>0</v>
      </c>
      <c r="AS52" s="953">
        <v>0</v>
      </c>
      <c r="AU52" s="953">
        <v>0</v>
      </c>
      <c r="AV52" s="930">
        <v>0</v>
      </c>
      <c r="AW52" s="940">
        <v>0</v>
      </c>
    </row>
    <row r="53" spans="1:49" ht="15.75" x14ac:dyDescent="0.25">
      <c r="A53" s="943" t="s">
        <v>39</v>
      </c>
      <c r="B53" s="930" t="s">
        <v>845</v>
      </c>
      <c r="C53" s="944">
        <v>2452</v>
      </c>
      <c r="D53" s="938">
        <v>988</v>
      </c>
      <c r="E53" s="939">
        <v>29640</v>
      </c>
      <c r="F53" s="993">
        <v>16830</v>
      </c>
      <c r="G53" s="930" t="s">
        <v>1075</v>
      </c>
      <c r="H53" s="897">
        <v>3.5636999999999999</v>
      </c>
      <c r="I53" s="979">
        <v>59977.070999999996</v>
      </c>
      <c r="K53" s="930">
        <v>917.36842105263167</v>
      </c>
      <c r="L53" s="930">
        <v>0.2036</v>
      </c>
      <c r="M53" s="994">
        <v>7097.496000000001</v>
      </c>
      <c r="O53" s="979">
        <v>0</v>
      </c>
      <c r="Q53" s="930">
        <v>18.94736842105263</v>
      </c>
      <c r="R53" s="930">
        <v>1.7611399999999999</v>
      </c>
      <c r="S53" s="994">
        <v>1268.0207999999998</v>
      </c>
      <c r="U53" s="930">
        <v>19.736842105263158</v>
      </c>
      <c r="V53" s="930">
        <v>0.2036</v>
      </c>
      <c r="W53" s="994">
        <v>152.70000000000002</v>
      </c>
      <c r="Y53" s="996">
        <v>0</v>
      </c>
      <c r="AA53" s="996">
        <v>0</v>
      </c>
      <c r="AC53" s="996">
        <v>0</v>
      </c>
      <c r="AE53" s="996">
        <v>0</v>
      </c>
      <c r="AG53" s="996">
        <v>0</v>
      </c>
      <c r="AH53" s="1014"/>
      <c r="AI53" s="979">
        <v>-19047</v>
      </c>
      <c r="AJ53" s="998"/>
      <c r="AK53" s="979">
        <v>864.68998393547417</v>
      </c>
      <c r="AL53" s="998"/>
      <c r="AM53" s="979">
        <v>-864.68998393547417</v>
      </c>
      <c r="AO53" s="999">
        <v>49448.287799999991</v>
      </c>
      <c r="AQ53" s="953">
        <v>84946.0334</v>
      </c>
      <c r="AS53" s="953">
        <v>-35497.745600000009</v>
      </c>
      <c r="AT53" s="930" t="s">
        <v>1326</v>
      </c>
      <c r="AU53" s="953">
        <v>21210</v>
      </c>
      <c r="AV53" s="930">
        <v>16830</v>
      </c>
      <c r="AW53" s="940">
        <v>-4380</v>
      </c>
    </row>
    <row r="54" spans="1:49" ht="15.75" x14ac:dyDescent="0.25">
      <c r="A54" s="943" t="s">
        <v>40</v>
      </c>
      <c r="B54" s="930" t="s">
        <v>846</v>
      </c>
      <c r="C54" s="944">
        <v>2627</v>
      </c>
      <c r="D54" s="938">
        <v>0</v>
      </c>
      <c r="E54" s="939">
        <v>0</v>
      </c>
      <c r="F54" s="993">
        <v>0</v>
      </c>
      <c r="G54" s="930" t="s">
        <v>1075</v>
      </c>
      <c r="H54" s="897">
        <v>3.5636999999999999</v>
      </c>
      <c r="I54" s="979">
        <v>0</v>
      </c>
      <c r="K54" s="930">
        <v>0</v>
      </c>
      <c r="L54" s="930">
        <v>0.2036</v>
      </c>
      <c r="M54" s="994">
        <v>0</v>
      </c>
      <c r="O54" s="979">
        <v>0</v>
      </c>
      <c r="Q54" s="930">
        <v>0</v>
      </c>
      <c r="R54" s="930">
        <v>1.7611399999999999</v>
      </c>
      <c r="S54" s="994">
        <v>0</v>
      </c>
      <c r="U54" s="930">
        <v>0</v>
      </c>
      <c r="V54" s="930">
        <v>0.2036</v>
      </c>
      <c r="W54" s="994">
        <v>0</v>
      </c>
      <c r="Y54" s="996">
        <v>0</v>
      </c>
      <c r="AA54" s="996">
        <v>0</v>
      </c>
      <c r="AC54" s="996">
        <v>0</v>
      </c>
      <c r="AE54" s="996">
        <v>0</v>
      </c>
      <c r="AG54" s="996">
        <v>0</v>
      </c>
      <c r="AH54" s="1014"/>
      <c r="AI54" s="979">
        <v>0</v>
      </c>
      <c r="AJ54" s="998"/>
      <c r="AK54" s="979">
        <v>0</v>
      </c>
      <c r="AL54" s="998"/>
      <c r="AM54" s="979">
        <v>0</v>
      </c>
      <c r="AO54" s="999">
        <v>0</v>
      </c>
      <c r="AQ54" s="953">
        <v>0</v>
      </c>
      <c r="AS54" s="953">
        <v>0</v>
      </c>
      <c r="AU54" s="953">
        <v>0</v>
      </c>
      <c r="AV54" s="930">
        <v>0</v>
      </c>
      <c r="AW54" s="940">
        <v>0</v>
      </c>
    </row>
    <row r="55" spans="1:49" ht="15.75" x14ac:dyDescent="0.25">
      <c r="A55" s="945" t="s">
        <v>619</v>
      </c>
      <c r="B55" s="930" t="s">
        <v>847</v>
      </c>
      <c r="C55" s="946">
        <v>2009</v>
      </c>
      <c r="D55" s="938">
        <v>0</v>
      </c>
      <c r="E55" s="939">
        <v>0</v>
      </c>
      <c r="F55" s="993">
        <v>0</v>
      </c>
      <c r="G55" s="930" t="s">
        <v>1075</v>
      </c>
      <c r="H55" s="897">
        <v>3.5636999999999999</v>
      </c>
      <c r="I55" s="979">
        <v>0</v>
      </c>
      <c r="K55" s="930">
        <v>0</v>
      </c>
      <c r="L55" s="930">
        <v>0.2036</v>
      </c>
      <c r="M55" s="994">
        <v>0</v>
      </c>
      <c r="O55" s="979">
        <v>0</v>
      </c>
      <c r="Q55" s="930">
        <v>0</v>
      </c>
      <c r="R55" s="930">
        <v>1.7611399999999999</v>
      </c>
      <c r="S55" s="994">
        <v>0</v>
      </c>
      <c r="U55" s="930">
        <v>0</v>
      </c>
      <c r="V55" s="930">
        <v>0.2036</v>
      </c>
      <c r="W55" s="994">
        <v>0</v>
      </c>
      <c r="Y55" s="996">
        <v>0</v>
      </c>
      <c r="AA55" s="996">
        <v>0</v>
      </c>
      <c r="AC55" s="996">
        <v>0</v>
      </c>
      <c r="AE55" s="996">
        <v>0</v>
      </c>
      <c r="AG55" s="996">
        <v>0</v>
      </c>
      <c r="AH55" s="1014"/>
      <c r="AI55" s="979">
        <v>0</v>
      </c>
      <c r="AJ55" s="998"/>
      <c r="AK55" s="979">
        <v>0</v>
      </c>
      <c r="AL55" s="998"/>
      <c r="AM55" s="979">
        <v>0</v>
      </c>
      <c r="AO55" s="999">
        <v>0</v>
      </c>
      <c r="AQ55" s="953">
        <v>0</v>
      </c>
      <c r="AS55" s="953">
        <v>0</v>
      </c>
      <c r="AU55" s="953">
        <v>0</v>
      </c>
      <c r="AV55" s="930">
        <v>0</v>
      </c>
      <c r="AW55" s="940">
        <v>0</v>
      </c>
    </row>
    <row r="56" spans="1:49" ht="15.75" x14ac:dyDescent="0.25">
      <c r="A56" s="943" t="s">
        <v>44</v>
      </c>
      <c r="B56" s="930" t="s">
        <v>848</v>
      </c>
      <c r="C56" s="944">
        <v>2420</v>
      </c>
      <c r="D56" s="938">
        <v>1976</v>
      </c>
      <c r="E56" s="939">
        <v>59280</v>
      </c>
      <c r="F56" s="993">
        <v>42960</v>
      </c>
      <c r="G56" s="930" t="s">
        <v>1075</v>
      </c>
      <c r="H56" s="897">
        <v>3.5636999999999999</v>
      </c>
      <c r="I56" s="979">
        <v>153096.552</v>
      </c>
      <c r="K56" s="930">
        <v>3232.105263157895</v>
      </c>
      <c r="L56" s="930">
        <v>0.2036</v>
      </c>
      <c r="M56" s="994">
        <v>25006.152000000002</v>
      </c>
      <c r="O56" s="979">
        <v>0</v>
      </c>
      <c r="Q56" s="930">
        <v>87.631578947368425</v>
      </c>
      <c r="R56" s="930">
        <v>1.7611399999999999</v>
      </c>
      <c r="S56" s="994">
        <v>5864.5962</v>
      </c>
      <c r="U56" s="930">
        <v>266.05263157894734</v>
      </c>
      <c r="V56" s="930">
        <v>0.2036</v>
      </c>
      <c r="W56" s="994">
        <v>2058.3959999999997</v>
      </c>
      <c r="Y56" s="996">
        <v>0</v>
      </c>
      <c r="AA56" s="996">
        <v>0</v>
      </c>
      <c r="AC56" s="996">
        <v>0</v>
      </c>
      <c r="AE56" s="996">
        <v>0</v>
      </c>
      <c r="AG56" s="996">
        <v>0</v>
      </c>
      <c r="AH56" s="1014"/>
      <c r="AI56" s="979">
        <v>6198</v>
      </c>
      <c r="AJ56" s="998"/>
      <c r="AK56" s="979">
        <v>2207.1943974966111</v>
      </c>
      <c r="AL56" s="998"/>
      <c r="AM56" s="979">
        <v>-2207.1943974966111</v>
      </c>
      <c r="AO56" s="999">
        <v>192223.69620000001</v>
      </c>
      <c r="AQ56" s="953">
        <v>177549.95480000001</v>
      </c>
      <c r="AS56" s="953">
        <v>14673.741399999999</v>
      </c>
      <c r="AU56" s="953">
        <v>41490</v>
      </c>
      <c r="AV56" s="930">
        <v>42960</v>
      </c>
      <c r="AW56" s="940">
        <v>1470</v>
      </c>
    </row>
    <row r="57" spans="1:49" ht="15.75" x14ac:dyDescent="0.25">
      <c r="A57" s="943" t="s">
        <v>315</v>
      </c>
      <c r="B57" s="930" t="s">
        <v>849</v>
      </c>
      <c r="C57" s="944">
        <v>2473</v>
      </c>
      <c r="D57" s="938">
        <v>1482</v>
      </c>
      <c r="E57" s="939">
        <v>44460</v>
      </c>
      <c r="F57" s="993">
        <v>42180</v>
      </c>
      <c r="G57" s="930" t="s">
        <v>1075</v>
      </c>
      <c r="H57" s="897">
        <v>3.5636999999999999</v>
      </c>
      <c r="I57" s="979">
        <v>150316.86599999998</v>
      </c>
      <c r="K57" s="930">
        <v>1848.9473684210527</v>
      </c>
      <c r="L57" s="930">
        <v>0.2036</v>
      </c>
      <c r="M57" s="994">
        <v>14304.936000000002</v>
      </c>
      <c r="O57" s="979">
        <v>0</v>
      </c>
      <c r="Q57" s="930">
        <v>79.736842105263165</v>
      </c>
      <c r="R57" s="930">
        <v>1.7611399999999999</v>
      </c>
      <c r="S57" s="994">
        <v>5336.2542000000012</v>
      </c>
      <c r="U57" s="930">
        <v>16.578947368421051</v>
      </c>
      <c r="V57" s="930">
        <v>0.2036</v>
      </c>
      <c r="W57" s="994">
        <v>128.26799999999997</v>
      </c>
      <c r="Y57" s="996">
        <v>0</v>
      </c>
      <c r="AA57" s="996">
        <v>0</v>
      </c>
      <c r="AC57" s="996">
        <v>0</v>
      </c>
      <c r="AE57" s="996">
        <v>0</v>
      </c>
      <c r="AG57" s="996">
        <v>0</v>
      </c>
      <c r="AH57" s="1014"/>
      <c r="AI57" s="979">
        <v>6908</v>
      </c>
      <c r="AJ57" s="998"/>
      <c r="AK57" s="979">
        <v>2167.1196388828462</v>
      </c>
      <c r="AL57" s="998"/>
      <c r="AM57" s="979">
        <v>-2167.1196388828462</v>
      </c>
      <c r="AO57" s="999">
        <v>176994.32419999997</v>
      </c>
      <c r="AQ57" s="953">
        <v>166428.1366</v>
      </c>
      <c r="AS57" s="953">
        <v>10566.187599999976</v>
      </c>
      <c r="AU57" s="953">
        <v>41640</v>
      </c>
      <c r="AV57" s="930">
        <v>42180</v>
      </c>
      <c r="AW57" s="940">
        <v>540</v>
      </c>
    </row>
    <row r="58" spans="1:49" ht="15.75" x14ac:dyDescent="0.25">
      <c r="A58" s="943" t="s">
        <v>43</v>
      </c>
      <c r="B58" s="930" t="s">
        <v>850</v>
      </c>
      <c r="C58" s="944">
        <v>2471</v>
      </c>
      <c r="D58" s="938">
        <v>0</v>
      </c>
      <c r="E58" s="939">
        <v>0</v>
      </c>
      <c r="F58" s="993">
        <v>0</v>
      </c>
      <c r="G58" s="930" t="s">
        <v>1075</v>
      </c>
      <c r="H58" s="897">
        <v>3.5636999999999999</v>
      </c>
      <c r="I58" s="979">
        <v>0</v>
      </c>
      <c r="K58" s="930">
        <v>0</v>
      </c>
      <c r="L58" s="930">
        <v>0.2036</v>
      </c>
      <c r="M58" s="994">
        <v>0</v>
      </c>
      <c r="O58" s="979">
        <v>0</v>
      </c>
      <c r="Q58" s="930">
        <v>0</v>
      </c>
      <c r="R58" s="930">
        <v>1.7611399999999999</v>
      </c>
      <c r="S58" s="994">
        <v>0</v>
      </c>
      <c r="U58" s="930">
        <v>0</v>
      </c>
      <c r="V58" s="930">
        <v>0.2036</v>
      </c>
      <c r="W58" s="994">
        <v>0</v>
      </c>
      <c r="Y58" s="996">
        <v>0</v>
      </c>
      <c r="AA58" s="996">
        <v>0</v>
      </c>
      <c r="AC58" s="996">
        <v>0</v>
      </c>
      <c r="AE58" s="996">
        <v>0</v>
      </c>
      <c r="AG58" s="996">
        <v>0</v>
      </c>
      <c r="AH58" s="1014"/>
      <c r="AI58" s="979">
        <v>0</v>
      </c>
      <c r="AJ58" s="998"/>
      <c r="AK58" s="979">
        <v>0</v>
      </c>
      <c r="AL58" s="998"/>
      <c r="AM58" s="979">
        <v>0</v>
      </c>
      <c r="AO58" s="999">
        <v>0</v>
      </c>
      <c r="AQ58" s="953">
        <v>0</v>
      </c>
      <c r="AS58" s="953">
        <v>0</v>
      </c>
      <c r="AU58" s="953">
        <v>0</v>
      </c>
      <c r="AV58" s="930">
        <v>0</v>
      </c>
      <c r="AW58" s="940">
        <v>0</v>
      </c>
    </row>
    <row r="59" spans="1:49" ht="15.75" x14ac:dyDescent="0.25">
      <c r="A59" s="943" t="s">
        <v>45</v>
      </c>
      <c r="B59" s="930" t="s">
        <v>851</v>
      </c>
      <c r="C59" s="944">
        <v>2003</v>
      </c>
      <c r="D59" s="938">
        <v>988</v>
      </c>
      <c r="E59" s="939">
        <v>29640</v>
      </c>
      <c r="F59" s="993">
        <v>29640</v>
      </c>
      <c r="G59" s="930" t="s">
        <v>1075</v>
      </c>
      <c r="H59" s="897">
        <v>3.5636999999999999</v>
      </c>
      <c r="I59" s="979">
        <v>105628.068</v>
      </c>
      <c r="K59" s="930">
        <v>34.736842105263158</v>
      </c>
      <c r="L59" s="930">
        <v>0.2036</v>
      </c>
      <c r="M59" s="994">
        <v>268.75200000000001</v>
      </c>
      <c r="O59" s="979">
        <v>0</v>
      </c>
      <c r="Q59" s="930">
        <v>0</v>
      </c>
      <c r="R59" s="930">
        <v>1.7611399999999999</v>
      </c>
      <c r="S59" s="994">
        <v>0</v>
      </c>
      <c r="U59" s="930">
        <v>30</v>
      </c>
      <c r="V59" s="930">
        <v>0.2036</v>
      </c>
      <c r="W59" s="994">
        <v>232.10400000000001</v>
      </c>
      <c r="Y59" s="996">
        <v>0</v>
      </c>
      <c r="AA59" s="996">
        <v>0</v>
      </c>
      <c r="AC59" s="996">
        <v>0</v>
      </c>
      <c r="AE59" s="996">
        <v>0</v>
      </c>
      <c r="AG59" s="996">
        <v>0</v>
      </c>
      <c r="AH59" s="1014"/>
      <c r="AI59" s="979">
        <v>0</v>
      </c>
      <c r="AJ59" s="998"/>
      <c r="AK59" s="979">
        <v>1522.8408273230809</v>
      </c>
      <c r="AL59" s="998"/>
      <c r="AM59" s="979">
        <v>-1522.8408273230809</v>
      </c>
      <c r="AO59" s="999">
        <v>106128.924</v>
      </c>
      <c r="AQ59" s="953">
        <v>104724.00271125232</v>
      </c>
      <c r="AS59" s="953">
        <v>1404.9212887476751</v>
      </c>
      <c r="AU59" s="953">
        <v>29640</v>
      </c>
      <c r="AV59" s="930">
        <v>29640</v>
      </c>
      <c r="AW59" s="940">
        <v>0</v>
      </c>
    </row>
    <row r="60" spans="1:49" ht="15.75" x14ac:dyDescent="0.25">
      <c r="A60" s="943" t="s">
        <v>46</v>
      </c>
      <c r="B60" s="930" t="s">
        <v>852</v>
      </c>
      <c r="C60" s="944">
        <v>2423</v>
      </c>
      <c r="D60" s="938">
        <v>0</v>
      </c>
      <c r="E60" s="939">
        <v>0</v>
      </c>
      <c r="F60" s="993">
        <v>0</v>
      </c>
      <c r="G60" s="930" t="s">
        <v>1075</v>
      </c>
      <c r="H60" s="897">
        <v>3.5636999999999999</v>
      </c>
      <c r="I60" s="979">
        <v>0</v>
      </c>
      <c r="K60" s="930">
        <v>0</v>
      </c>
      <c r="L60" s="930">
        <v>0.2036</v>
      </c>
      <c r="M60" s="994">
        <v>0</v>
      </c>
      <c r="O60" s="979">
        <v>0</v>
      </c>
      <c r="Q60" s="930">
        <v>0</v>
      </c>
      <c r="R60" s="930">
        <v>1.7611399999999999</v>
      </c>
      <c r="S60" s="994">
        <v>0</v>
      </c>
      <c r="U60" s="930">
        <v>0</v>
      </c>
      <c r="V60" s="930">
        <v>0.2036</v>
      </c>
      <c r="W60" s="994">
        <v>0</v>
      </c>
      <c r="Y60" s="996">
        <v>0</v>
      </c>
      <c r="AA60" s="996">
        <v>0</v>
      </c>
      <c r="AC60" s="996">
        <v>0</v>
      </c>
      <c r="AE60" s="996">
        <v>0</v>
      </c>
      <c r="AG60" s="996">
        <v>0</v>
      </c>
      <c r="AH60" s="1014"/>
      <c r="AI60" s="979">
        <v>0</v>
      </c>
      <c r="AJ60" s="998"/>
      <c r="AK60" s="979">
        <v>0</v>
      </c>
      <c r="AL60" s="998"/>
      <c r="AM60" s="979">
        <v>0</v>
      </c>
      <c r="AO60" s="999">
        <v>0</v>
      </c>
      <c r="AQ60" s="953">
        <v>0</v>
      </c>
      <c r="AS60" s="953">
        <v>0</v>
      </c>
      <c r="AU60" s="953">
        <v>0</v>
      </c>
      <c r="AV60" s="930">
        <v>0</v>
      </c>
      <c r="AW60" s="940">
        <v>0</v>
      </c>
    </row>
    <row r="61" spans="1:49" ht="15.75" x14ac:dyDescent="0.25">
      <c r="A61" s="943" t="s">
        <v>47</v>
      </c>
      <c r="B61" s="930" t="s">
        <v>853</v>
      </c>
      <c r="C61" s="944">
        <v>2424</v>
      </c>
      <c r="D61" s="938">
        <v>0</v>
      </c>
      <c r="E61" s="939">
        <v>0</v>
      </c>
      <c r="F61" s="993">
        <v>0</v>
      </c>
      <c r="G61" s="930" t="s">
        <v>1075</v>
      </c>
      <c r="H61" s="897">
        <v>3.5636999999999999</v>
      </c>
      <c r="I61" s="979">
        <v>0</v>
      </c>
      <c r="K61" s="930">
        <v>0</v>
      </c>
      <c r="L61" s="930">
        <v>0.2036</v>
      </c>
      <c r="M61" s="994">
        <v>0</v>
      </c>
      <c r="O61" s="979">
        <v>0</v>
      </c>
      <c r="Q61" s="930">
        <v>0</v>
      </c>
      <c r="R61" s="930">
        <v>1.7611399999999999</v>
      </c>
      <c r="S61" s="994">
        <v>0</v>
      </c>
      <c r="U61" s="930">
        <v>0</v>
      </c>
      <c r="V61" s="930">
        <v>0.2036</v>
      </c>
      <c r="W61" s="994">
        <v>0</v>
      </c>
      <c r="Y61" s="996">
        <v>0</v>
      </c>
      <c r="AA61" s="996">
        <v>0</v>
      </c>
      <c r="AC61" s="996">
        <v>0</v>
      </c>
      <c r="AE61" s="996">
        <v>0</v>
      </c>
      <c r="AG61" s="996">
        <v>0</v>
      </c>
      <c r="AH61" s="1014"/>
      <c r="AI61" s="979">
        <v>0</v>
      </c>
      <c r="AJ61" s="998"/>
      <c r="AK61" s="979">
        <v>0</v>
      </c>
      <c r="AL61" s="998"/>
      <c r="AM61" s="979">
        <v>0</v>
      </c>
      <c r="AO61" s="999">
        <v>0</v>
      </c>
      <c r="AQ61" s="953">
        <v>0</v>
      </c>
      <c r="AS61" s="953">
        <v>0</v>
      </c>
      <c r="AU61" s="953">
        <v>0</v>
      </c>
      <c r="AV61" s="930">
        <v>0</v>
      </c>
      <c r="AW61" s="940">
        <v>0</v>
      </c>
    </row>
    <row r="62" spans="1:49" ht="15.75" x14ac:dyDescent="0.25">
      <c r="A62" s="943" t="s">
        <v>48</v>
      </c>
      <c r="B62" s="930" t="s">
        <v>854</v>
      </c>
      <c r="C62" s="944">
        <v>2439</v>
      </c>
      <c r="D62" s="938">
        <v>0</v>
      </c>
      <c r="E62" s="939">
        <v>0</v>
      </c>
      <c r="F62" s="993">
        <v>0</v>
      </c>
      <c r="G62" s="930" t="s">
        <v>1075</v>
      </c>
      <c r="H62" s="897">
        <v>3.5636999999999999</v>
      </c>
      <c r="I62" s="979">
        <v>0</v>
      </c>
      <c r="K62" s="930">
        <v>0</v>
      </c>
      <c r="L62" s="930">
        <v>0.2036</v>
      </c>
      <c r="M62" s="994">
        <v>0</v>
      </c>
      <c r="O62" s="979">
        <v>0</v>
      </c>
      <c r="Q62" s="930">
        <v>0</v>
      </c>
      <c r="R62" s="930">
        <v>1.7611399999999999</v>
      </c>
      <c r="S62" s="994">
        <v>0</v>
      </c>
      <c r="U62" s="930">
        <v>0</v>
      </c>
      <c r="V62" s="930">
        <v>0.2036</v>
      </c>
      <c r="W62" s="994">
        <v>0</v>
      </c>
      <c r="Y62" s="996">
        <v>0</v>
      </c>
      <c r="AA62" s="996">
        <v>0</v>
      </c>
      <c r="AC62" s="996">
        <v>0</v>
      </c>
      <c r="AE62" s="996">
        <v>0</v>
      </c>
      <c r="AG62" s="996">
        <v>0</v>
      </c>
      <c r="AH62" s="1014"/>
      <c r="AI62" s="979">
        <v>0</v>
      </c>
      <c r="AJ62" s="998"/>
      <c r="AK62" s="979">
        <v>0</v>
      </c>
      <c r="AL62" s="998"/>
      <c r="AM62" s="979">
        <v>0</v>
      </c>
      <c r="AO62" s="999">
        <v>0</v>
      </c>
      <c r="AQ62" s="953">
        <v>0</v>
      </c>
      <c r="AS62" s="953">
        <v>0</v>
      </c>
      <c r="AU62" s="953">
        <v>0</v>
      </c>
      <c r="AV62" s="930">
        <v>0</v>
      </c>
      <c r="AW62" s="940">
        <v>0</v>
      </c>
    </row>
    <row r="63" spans="1:49" ht="15.75" x14ac:dyDescent="0.25">
      <c r="A63" s="943" t="s">
        <v>49</v>
      </c>
      <c r="B63" s="930" t="s">
        <v>855</v>
      </c>
      <c r="C63" s="944">
        <v>2440</v>
      </c>
      <c r="D63" s="938">
        <v>0</v>
      </c>
      <c r="E63" s="939">
        <v>0</v>
      </c>
      <c r="F63" s="993">
        <v>0</v>
      </c>
      <c r="G63" s="930" t="s">
        <v>1075</v>
      </c>
      <c r="H63" s="897">
        <v>3.5636999999999999</v>
      </c>
      <c r="I63" s="979">
        <v>0</v>
      </c>
      <c r="K63" s="930">
        <v>0</v>
      </c>
      <c r="L63" s="930">
        <v>0.2036</v>
      </c>
      <c r="M63" s="994">
        <v>0</v>
      </c>
      <c r="O63" s="979">
        <v>0</v>
      </c>
      <c r="Q63" s="930">
        <v>0</v>
      </c>
      <c r="R63" s="930">
        <v>1.7611399999999999</v>
      </c>
      <c r="S63" s="994">
        <v>0</v>
      </c>
      <c r="U63" s="930">
        <v>0</v>
      </c>
      <c r="V63" s="930">
        <v>0.2036</v>
      </c>
      <c r="W63" s="994">
        <v>0</v>
      </c>
      <c r="Y63" s="996">
        <v>0</v>
      </c>
      <c r="AA63" s="996">
        <v>0</v>
      </c>
      <c r="AC63" s="996">
        <v>0</v>
      </c>
      <c r="AE63" s="996">
        <v>0</v>
      </c>
      <c r="AG63" s="996">
        <v>0</v>
      </c>
      <c r="AH63" s="1014"/>
      <c r="AI63" s="979">
        <v>0</v>
      </c>
      <c r="AJ63" s="998"/>
      <c r="AK63" s="979">
        <v>0</v>
      </c>
      <c r="AL63" s="998"/>
      <c r="AM63" s="979">
        <v>0</v>
      </c>
      <c r="AO63" s="999">
        <v>0</v>
      </c>
      <c r="AQ63" s="953">
        <v>0</v>
      </c>
      <c r="AS63" s="953">
        <v>0</v>
      </c>
      <c r="AU63" s="953">
        <v>0</v>
      </c>
      <c r="AV63" s="930">
        <v>0</v>
      </c>
      <c r="AW63" s="940">
        <v>0</v>
      </c>
    </row>
    <row r="64" spans="1:49" ht="15.75" x14ac:dyDescent="0.25">
      <c r="A64" s="943" t="s">
        <v>316</v>
      </c>
      <c r="B64" s="930" t="s">
        <v>856</v>
      </c>
      <c r="C64" s="944">
        <v>2462</v>
      </c>
      <c r="D64" s="938">
        <v>988</v>
      </c>
      <c r="E64" s="939">
        <v>29640</v>
      </c>
      <c r="F64" s="993">
        <v>29568</v>
      </c>
      <c r="G64" s="930" t="s">
        <v>1075</v>
      </c>
      <c r="H64" s="897">
        <v>3.5636999999999999</v>
      </c>
      <c r="I64" s="979">
        <v>105371.4816</v>
      </c>
      <c r="K64" s="930">
        <v>145.57894736842104</v>
      </c>
      <c r="L64" s="930">
        <v>0.2036</v>
      </c>
      <c r="M64" s="994">
        <v>1126.3152</v>
      </c>
      <c r="O64" s="979">
        <v>0</v>
      </c>
      <c r="Q64" s="930">
        <v>4.7368421052631575</v>
      </c>
      <c r="R64" s="930">
        <v>1.7611399999999999</v>
      </c>
      <c r="S64" s="994">
        <v>317.00519999999995</v>
      </c>
      <c r="U64" s="930">
        <v>45</v>
      </c>
      <c r="V64" s="930">
        <v>0.2036</v>
      </c>
      <c r="W64" s="994">
        <v>348.15600000000001</v>
      </c>
      <c r="Y64" s="996">
        <v>0</v>
      </c>
      <c r="AA64" s="996">
        <v>0</v>
      </c>
      <c r="AC64" s="996">
        <v>0</v>
      </c>
      <c r="AE64" s="996">
        <v>0</v>
      </c>
      <c r="AG64" s="996">
        <v>0</v>
      </c>
      <c r="AH64" s="1014"/>
      <c r="AI64" s="979">
        <v>-2914</v>
      </c>
      <c r="AJ64" s="998"/>
      <c r="AK64" s="979">
        <v>1519.1416188356566</v>
      </c>
      <c r="AL64" s="998"/>
      <c r="AM64" s="979">
        <v>-1519.1416188356566</v>
      </c>
      <c r="AO64" s="999">
        <v>104248.958</v>
      </c>
      <c r="AQ64" s="953">
        <v>101387.6784</v>
      </c>
      <c r="AS64" s="953">
        <v>2861.2795999999944</v>
      </c>
      <c r="AU64" s="953">
        <v>28692</v>
      </c>
      <c r="AV64" s="930">
        <v>29568</v>
      </c>
      <c r="AW64" s="940">
        <v>876</v>
      </c>
    </row>
    <row r="65" spans="1:49" ht="15.75" x14ac:dyDescent="0.25">
      <c r="A65" s="947" t="s">
        <v>51</v>
      </c>
      <c r="B65" s="930" t="s">
        <v>857</v>
      </c>
      <c r="C65" s="948">
        <v>2463</v>
      </c>
      <c r="D65" s="938">
        <v>0</v>
      </c>
      <c r="E65" s="939">
        <v>0</v>
      </c>
      <c r="F65" s="993">
        <v>0</v>
      </c>
      <c r="G65" s="930" t="s">
        <v>1075</v>
      </c>
      <c r="H65" s="897">
        <v>3.5636999999999999</v>
      </c>
      <c r="I65" s="979">
        <v>0</v>
      </c>
      <c r="K65" s="930">
        <v>0</v>
      </c>
      <c r="L65" s="930">
        <v>0.2036</v>
      </c>
      <c r="M65" s="994">
        <v>0</v>
      </c>
      <c r="O65" s="979">
        <v>0</v>
      </c>
      <c r="Q65" s="930">
        <v>0</v>
      </c>
      <c r="R65" s="930">
        <v>1.7611399999999999</v>
      </c>
      <c r="S65" s="994">
        <v>0</v>
      </c>
      <c r="U65" s="930">
        <v>0</v>
      </c>
      <c r="V65" s="930">
        <v>0.2036</v>
      </c>
      <c r="W65" s="994">
        <v>0</v>
      </c>
      <c r="Y65" s="996">
        <v>0</v>
      </c>
      <c r="AA65" s="996">
        <v>0</v>
      </c>
      <c r="AC65" s="996">
        <v>0</v>
      </c>
      <c r="AE65" s="996">
        <v>0</v>
      </c>
      <c r="AG65" s="996">
        <v>0</v>
      </c>
      <c r="AH65" s="1014"/>
      <c r="AI65" s="979">
        <v>0</v>
      </c>
      <c r="AJ65" s="998"/>
      <c r="AK65" s="979">
        <v>0</v>
      </c>
      <c r="AL65" s="998"/>
      <c r="AM65" s="979">
        <v>0</v>
      </c>
      <c r="AO65" s="999">
        <v>0</v>
      </c>
      <c r="AQ65" s="953">
        <v>0</v>
      </c>
      <c r="AS65" s="953">
        <v>0</v>
      </c>
      <c r="AU65" s="953">
        <v>0</v>
      </c>
      <c r="AV65" s="930">
        <v>0</v>
      </c>
      <c r="AW65" s="940">
        <v>0</v>
      </c>
    </row>
    <row r="66" spans="1:49" ht="15.75" x14ac:dyDescent="0.25">
      <c r="A66" s="947" t="s">
        <v>52</v>
      </c>
      <c r="B66" s="930" t="s">
        <v>858</v>
      </c>
      <c r="C66" s="948">
        <v>2505</v>
      </c>
      <c r="D66" s="938">
        <v>1900</v>
      </c>
      <c r="E66" s="939">
        <v>57000</v>
      </c>
      <c r="F66" s="993">
        <v>50190</v>
      </c>
      <c r="G66" s="930" t="s">
        <v>1075</v>
      </c>
      <c r="H66" s="897">
        <v>3.5636999999999999</v>
      </c>
      <c r="I66" s="979">
        <v>178862.103</v>
      </c>
      <c r="K66" s="930">
        <v>2809.7368421052633</v>
      </c>
      <c r="L66" s="930">
        <v>0.2036</v>
      </c>
      <c r="M66" s="994">
        <v>21738.372000000003</v>
      </c>
      <c r="O66" s="979">
        <v>0</v>
      </c>
      <c r="Q66" s="930">
        <v>4.7368421052631575</v>
      </c>
      <c r="R66" s="930">
        <v>1.7611399999999999</v>
      </c>
      <c r="S66" s="994">
        <v>317.00519999999995</v>
      </c>
      <c r="U66" s="930">
        <v>427.89473684210526</v>
      </c>
      <c r="V66" s="930">
        <v>0.2036</v>
      </c>
      <c r="W66" s="994">
        <v>3310.5360000000001</v>
      </c>
      <c r="Y66" s="996">
        <v>0</v>
      </c>
      <c r="AA66" s="996">
        <v>0</v>
      </c>
      <c r="AC66" s="996">
        <v>0</v>
      </c>
      <c r="AE66" s="996">
        <v>0</v>
      </c>
      <c r="AG66" s="996">
        <v>0</v>
      </c>
      <c r="AH66" s="1014"/>
      <c r="AI66" s="979">
        <v>-12850</v>
      </c>
      <c r="AJ66" s="998"/>
      <c r="AK66" s="979">
        <v>2578.6565831088205</v>
      </c>
      <c r="AL66" s="998"/>
      <c r="AM66" s="979">
        <v>-2578.6565831088205</v>
      </c>
      <c r="AO66" s="999">
        <v>191378.01620000001</v>
      </c>
      <c r="AQ66" s="953">
        <v>208370.492</v>
      </c>
      <c r="AS66" s="953">
        <v>-16992.475799999986</v>
      </c>
      <c r="AU66" s="953">
        <v>52260</v>
      </c>
      <c r="AV66" s="930">
        <v>50190</v>
      </c>
      <c r="AW66" s="940">
        <v>-2070</v>
      </c>
    </row>
    <row r="67" spans="1:49" x14ac:dyDescent="0.25">
      <c r="A67" s="949" t="s">
        <v>53</v>
      </c>
      <c r="B67" s="930" t="s">
        <v>859</v>
      </c>
      <c r="C67" s="950">
        <v>2000</v>
      </c>
      <c r="D67" s="938">
        <v>988</v>
      </c>
      <c r="E67" s="939">
        <v>29640</v>
      </c>
      <c r="F67" s="993">
        <v>24210</v>
      </c>
      <c r="G67" s="930" t="s">
        <v>1075</v>
      </c>
      <c r="H67" s="897">
        <v>3.5636999999999999</v>
      </c>
      <c r="I67" s="979">
        <v>86277.176999999996</v>
      </c>
      <c r="K67" s="930">
        <v>603.15789473684208</v>
      </c>
      <c r="L67" s="930">
        <v>0.2036</v>
      </c>
      <c r="M67" s="994">
        <v>4666.5119999999997</v>
      </c>
      <c r="O67" s="979">
        <v>0</v>
      </c>
      <c r="Q67" s="930">
        <v>30</v>
      </c>
      <c r="R67" s="930">
        <v>1.7611399999999999</v>
      </c>
      <c r="S67" s="994">
        <v>2007.6995999999999</v>
      </c>
      <c r="U67" s="930">
        <v>53.684210526315788</v>
      </c>
      <c r="V67" s="930">
        <v>0.2036</v>
      </c>
      <c r="W67" s="994">
        <v>415.34399999999999</v>
      </c>
      <c r="Y67" s="996">
        <v>0</v>
      </c>
      <c r="AA67" s="996">
        <v>0</v>
      </c>
      <c r="AC67" s="996">
        <v>0</v>
      </c>
      <c r="AE67" s="996">
        <v>0</v>
      </c>
      <c r="AG67" s="996">
        <v>0</v>
      </c>
      <c r="AH67" s="1014"/>
      <c r="AI67" s="979">
        <v>16285</v>
      </c>
      <c r="AJ67" s="998"/>
      <c r="AK67" s="979">
        <v>1243.8588538964841</v>
      </c>
      <c r="AL67" s="998"/>
      <c r="AM67" s="979">
        <v>-1243.8588538964841</v>
      </c>
      <c r="AO67" s="999">
        <v>109651.7326</v>
      </c>
      <c r="AQ67" s="953">
        <v>67948.34</v>
      </c>
      <c r="AS67" s="953">
        <v>41703.392600000006</v>
      </c>
      <c r="AU67" s="953">
        <v>17940</v>
      </c>
      <c r="AV67" s="930">
        <v>24210</v>
      </c>
      <c r="AW67" s="940">
        <v>6270</v>
      </c>
    </row>
    <row r="68" spans="1:49" x14ac:dyDescent="0.25">
      <c r="A68" s="949" t="s">
        <v>54</v>
      </c>
      <c r="B68" s="930" t="s">
        <v>860</v>
      </c>
      <c r="C68" s="950">
        <v>2458</v>
      </c>
      <c r="D68" s="938">
        <v>0</v>
      </c>
      <c r="E68" s="939">
        <v>0</v>
      </c>
      <c r="F68" s="993">
        <v>0</v>
      </c>
      <c r="G68" s="930" t="s">
        <v>1075</v>
      </c>
      <c r="H68" s="897">
        <v>3.5636999999999999</v>
      </c>
      <c r="I68" s="979">
        <v>0</v>
      </c>
      <c r="K68" s="930">
        <v>0</v>
      </c>
      <c r="L68" s="930">
        <v>0.2036</v>
      </c>
      <c r="M68" s="994">
        <v>0</v>
      </c>
      <c r="O68" s="979">
        <v>0</v>
      </c>
      <c r="Q68" s="930">
        <v>0</v>
      </c>
      <c r="R68" s="930">
        <v>1.7611399999999999</v>
      </c>
      <c r="S68" s="994">
        <v>0</v>
      </c>
      <c r="U68" s="930">
        <v>0</v>
      </c>
      <c r="V68" s="930">
        <v>0.2036</v>
      </c>
      <c r="W68" s="994">
        <v>0</v>
      </c>
      <c r="Y68" s="996">
        <v>0</v>
      </c>
      <c r="AA68" s="996">
        <v>0</v>
      </c>
      <c r="AC68" s="996">
        <v>0</v>
      </c>
      <c r="AE68" s="996">
        <v>0</v>
      </c>
      <c r="AG68" s="996">
        <v>0</v>
      </c>
      <c r="AH68" s="1014"/>
      <c r="AI68" s="979">
        <v>0</v>
      </c>
      <c r="AJ68" s="998"/>
      <c r="AK68" s="979">
        <v>0</v>
      </c>
      <c r="AL68" s="998"/>
      <c r="AM68" s="979">
        <v>0</v>
      </c>
      <c r="AO68" s="999">
        <v>0</v>
      </c>
      <c r="AQ68" s="953">
        <v>0</v>
      </c>
      <c r="AS68" s="953">
        <v>0</v>
      </c>
      <c r="AU68" s="953">
        <v>0</v>
      </c>
      <c r="AV68" s="930">
        <v>0</v>
      </c>
      <c r="AW68" s="940">
        <v>0</v>
      </c>
    </row>
    <row r="69" spans="1:49" ht="15.75" x14ac:dyDescent="0.25">
      <c r="A69" s="947" t="s">
        <v>55</v>
      </c>
      <c r="B69" s="930" t="s">
        <v>861</v>
      </c>
      <c r="C69" s="948">
        <v>2001</v>
      </c>
      <c r="D69" s="938">
        <v>1976</v>
      </c>
      <c r="E69" s="939">
        <v>59280</v>
      </c>
      <c r="F69" s="993">
        <v>32340</v>
      </c>
      <c r="G69" s="930" t="s">
        <v>1075</v>
      </c>
      <c r="H69" s="897">
        <v>3.5636999999999999</v>
      </c>
      <c r="I69" s="979">
        <v>115250.05799999999</v>
      </c>
      <c r="K69" s="930">
        <v>1938.9473684210527</v>
      </c>
      <c r="L69" s="930">
        <v>0.2036</v>
      </c>
      <c r="M69" s="994">
        <v>15001.248000000001</v>
      </c>
      <c r="O69" s="979">
        <v>0</v>
      </c>
      <c r="Q69" s="930">
        <v>88.421052631578945</v>
      </c>
      <c r="R69" s="930">
        <v>1.7611399999999999</v>
      </c>
      <c r="S69" s="994">
        <v>5917.4303999999993</v>
      </c>
      <c r="U69" s="930">
        <v>47.368421052631582</v>
      </c>
      <c r="V69" s="930">
        <v>0.2036</v>
      </c>
      <c r="W69" s="994">
        <v>366.48</v>
      </c>
      <c r="Y69" s="996">
        <v>0</v>
      </c>
      <c r="AA69" s="996">
        <v>0</v>
      </c>
      <c r="AC69" s="996">
        <v>0</v>
      </c>
      <c r="AE69" s="996">
        <v>0</v>
      </c>
      <c r="AG69" s="996">
        <v>0</v>
      </c>
      <c r="AH69" s="1014"/>
      <c r="AI69" s="979">
        <v>-28182</v>
      </c>
      <c r="AJ69" s="998"/>
      <c r="AK69" s="979">
        <v>1661.5611456014994</v>
      </c>
      <c r="AL69" s="998"/>
      <c r="AM69" s="979">
        <v>-1661.5611456014994</v>
      </c>
      <c r="AO69" s="999">
        <v>108353.2164</v>
      </c>
      <c r="AQ69" s="953">
        <v>149591.92240000001</v>
      </c>
      <c r="AS69" s="953">
        <v>-41238.706000000006</v>
      </c>
      <c r="AT69" s="930" t="s">
        <v>1326</v>
      </c>
      <c r="AU69" s="953">
        <v>35940</v>
      </c>
      <c r="AV69" s="930">
        <v>32340</v>
      </c>
      <c r="AW69" s="940">
        <v>-3600</v>
      </c>
    </row>
    <row r="70" spans="1:49" ht="15.75" x14ac:dyDescent="0.25">
      <c r="A70" s="947" t="s">
        <v>56</v>
      </c>
      <c r="B70" s="930" t="s">
        <v>862</v>
      </c>
      <c r="C70" s="948">
        <v>2429</v>
      </c>
      <c r="D70" s="938">
        <v>1482</v>
      </c>
      <c r="E70" s="939">
        <v>44460</v>
      </c>
      <c r="F70" s="993">
        <v>34110</v>
      </c>
      <c r="G70" s="930" t="s">
        <v>1075</v>
      </c>
      <c r="H70" s="897">
        <v>3.5636999999999999</v>
      </c>
      <c r="I70" s="979">
        <v>121557.807</v>
      </c>
      <c r="K70" s="930">
        <v>2362.894736842105</v>
      </c>
      <c r="L70" s="930">
        <v>0.2036</v>
      </c>
      <c r="M70" s="994">
        <v>18281.243999999999</v>
      </c>
      <c r="O70" s="979">
        <v>0</v>
      </c>
      <c r="Q70" s="930">
        <v>18.94736842105263</v>
      </c>
      <c r="R70" s="930">
        <v>1.7611399999999999</v>
      </c>
      <c r="S70" s="994">
        <v>1268.0207999999998</v>
      </c>
      <c r="U70" s="930">
        <v>497.36842105263156</v>
      </c>
      <c r="V70" s="930">
        <v>0.2036</v>
      </c>
      <c r="W70" s="994">
        <v>3848.04</v>
      </c>
      <c r="Y70" s="996">
        <v>0</v>
      </c>
      <c r="AA70" s="996">
        <v>0</v>
      </c>
      <c r="AC70" s="996">
        <v>0</v>
      </c>
      <c r="AE70" s="996">
        <v>0</v>
      </c>
      <c r="AG70" s="996">
        <v>0</v>
      </c>
      <c r="AH70" s="1014"/>
      <c r="AI70" s="979">
        <v>-10024</v>
      </c>
      <c r="AJ70" s="998"/>
      <c r="AK70" s="979">
        <v>1752.5000209173513</v>
      </c>
      <c r="AL70" s="998"/>
      <c r="AM70" s="979">
        <v>-1752.5000209173513</v>
      </c>
      <c r="AO70" s="999">
        <v>134931.11180000001</v>
      </c>
      <c r="AQ70" s="953">
        <v>141086.4694</v>
      </c>
      <c r="AS70" s="953">
        <v>-6155.3575999999885</v>
      </c>
      <c r="AT70" s="930" t="s">
        <v>1326</v>
      </c>
      <c r="AU70" s="953">
        <v>32520</v>
      </c>
      <c r="AV70" s="930">
        <v>34110</v>
      </c>
      <c r="AW70" s="940">
        <v>1590</v>
      </c>
    </row>
    <row r="71" spans="1:49" ht="15.75" x14ac:dyDescent="0.25">
      <c r="A71" s="947" t="s">
        <v>57</v>
      </c>
      <c r="B71" s="930" t="s">
        <v>863</v>
      </c>
      <c r="C71" s="948">
        <v>2444</v>
      </c>
      <c r="D71" s="938">
        <v>988</v>
      </c>
      <c r="E71" s="939">
        <v>29640</v>
      </c>
      <c r="F71" s="993">
        <v>29460</v>
      </c>
      <c r="G71" s="930" t="s">
        <v>1075</v>
      </c>
      <c r="H71" s="897">
        <v>3.5636999999999999</v>
      </c>
      <c r="I71" s="979">
        <v>104986.602</v>
      </c>
      <c r="K71" s="930">
        <v>1255.421052631579</v>
      </c>
      <c r="L71" s="930">
        <v>0.2036</v>
      </c>
      <c r="M71" s="994">
        <v>9712.9416000000001</v>
      </c>
      <c r="O71" s="979">
        <v>0</v>
      </c>
      <c r="Q71" s="930">
        <v>33.94736842105263</v>
      </c>
      <c r="R71" s="930">
        <v>1.7611399999999999</v>
      </c>
      <c r="S71" s="994">
        <v>2271.8705999999997</v>
      </c>
      <c r="U71" s="930">
        <v>71.05263157894737</v>
      </c>
      <c r="V71" s="930">
        <v>0.2036</v>
      </c>
      <c r="W71" s="994">
        <v>549.72</v>
      </c>
      <c r="Y71" s="996">
        <v>0</v>
      </c>
      <c r="AA71" s="996">
        <v>0</v>
      </c>
      <c r="AC71" s="996">
        <v>0</v>
      </c>
      <c r="AE71" s="996">
        <v>0</v>
      </c>
      <c r="AG71" s="996">
        <v>0</v>
      </c>
      <c r="AH71" s="1014"/>
      <c r="AI71" s="979">
        <v>-2163</v>
      </c>
      <c r="AJ71" s="998"/>
      <c r="AK71" s="979">
        <v>1513.5928061045197</v>
      </c>
      <c r="AL71" s="998"/>
      <c r="AM71" s="979">
        <v>-1513.5928061045197</v>
      </c>
      <c r="AO71" s="999">
        <v>115358.1342</v>
      </c>
      <c r="AQ71" s="953">
        <v>116437.84999999999</v>
      </c>
      <c r="AS71" s="953">
        <v>-1079.7157999999908</v>
      </c>
      <c r="AU71" s="953">
        <v>29568</v>
      </c>
      <c r="AV71" s="930">
        <v>29460</v>
      </c>
      <c r="AW71" s="940">
        <v>-108</v>
      </c>
    </row>
    <row r="72" spans="1:49" ht="15.75" x14ac:dyDescent="0.25">
      <c r="A72" s="947" t="s">
        <v>58</v>
      </c>
      <c r="B72" s="930" t="s">
        <v>864</v>
      </c>
      <c r="C72" s="948">
        <v>5209</v>
      </c>
      <c r="D72" s="938">
        <v>0</v>
      </c>
      <c r="E72" s="939">
        <v>0</v>
      </c>
      <c r="F72" s="993">
        <v>0</v>
      </c>
      <c r="G72" s="930" t="s">
        <v>1075</v>
      </c>
      <c r="H72" s="897">
        <v>3.5636999999999999</v>
      </c>
      <c r="I72" s="979">
        <v>0</v>
      </c>
      <c r="K72" s="930">
        <v>0</v>
      </c>
      <c r="L72" s="930">
        <v>0.2036</v>
      </c>
      <c r="M72" s="994">
        <v>0</v>
      </c>
      <c r="O72" s="979">
        <v>0</v>
      </c>
      <c r="Q72" s="930">
        <v>0</v>
      </c>
      <c r="R72" s="930">
        <v>1.7611399999999999</v>
      </c>
      <c r="S72" s="994">
        <v>0</v>
      </c>
      <c r="U72" s="930">
        <v>0</v>
      </c>
      <c r="V72" s="930">
        <v>0.2036</v>
      </c>
      <c r="W72" s="994">
        <v>0</v>
      </c>
      <c r="Y72" s="996">
        <v>0</v>
      </c>
      <c r="AA72" s="996">
        <v>0</v>
      </c>
      <c r="AC72" s="996">
        <v>0</v>
      </c>
      <c r="AE72" s="996">
        <v>0</v>
      </c>
      <c r="AG72" s="996">
        <v>0</v>
      </c>
      <c r="AH72" s="1014"/>
      <c r="AI72" s="979">
        <v>0</v>
      </c>
      <c r="AJ72" s="998"/>
      <c r="AK72" s="979">
        <v>0</v>
      </c>
      <c r="AL72" s="998"/>
      <c r="AM72" s="979">
        <v>0</v>
      </c>
      <c r="AO72" s="999">
        <v>0</v>
      </c>
      <c r="AQ72" s="953">
        <v>0</v>
      </c>
      <c r="AS72" s="953">
        <v>0</v>
      </c>
      <c r="AU72" s="953">
        <v>0</v>
      </c>
      <c r="AV72" s="930">
        <v>0</v>
      </c>
      <c r="AW72" s="940">
        <v>0</v>
      </c>
    </row>
    <row r="73" spans="1:49" ht="15.75" x14ac:dyDescent="0.25">
      <c r="A73" s="943" t="s">
        <v>59</v>
      </c>
      <c r="B73" s="930" t="s">
        <v>865</v>
      </c>
      <c r="C73" s="944">
        <v>2469</v>
      </c>
      <c r="D73" s="938">
        <v>0</v>
      </c>
      <c r="E73" s="939">
        <v>0</v>
      </c>
      <c r="F73" s="993">
        <v>0</v>
      </c>
      <c r="G73" s="930" t="s">
        <v>1075</v>
      </c>
      <c r="H73" s="897">
        <v>3.5636999999999999</v>
      </c>
      <c r="I73" s="979">
        <v>0</v>
      </c>
      <c r="K73" s="930">
        <v>0</v>
      </c>
      <c r="L73" s="930">
        <v>0.2036</v>
      </c>
      <c r="M73" s="994">
        <v>0</v>
      </c>
      <c r="O73" s="979">
        <v>0</v>
      </c>
      <c r="Q73" s="930">
        <v>0</v>
      </c>
      <c r="R73" s="930">
        <v>1.7611399999999999</v>
      </c>
      <c r="S73" s="994">
        <v>0</v>
      </c>
      <c r="U73" s="930">
        <v>0</v>
      </c>
      <c r="V73" s="930">
        <v>0.2036</v>
      </c>
      <c r="W73" s="994">
        <v>0</v>
      </c>
      <c r="Y73" s="996">
        <v>0</v>
      </c>
      <c r="AA73" s="996">
        <v>0</v>
      </c>
      <c r="AC73" s="996">
        <v>0</v>
      </c>
      <c r="AE73" s="996">
        <v>0</v>
      </c>
      <c r="AG73" s="996">
        <v>0</v>
      </c>
      <c r="AH73" s="1014"/>
      <c r="AI73" s="979">
        <v>0</v>
      </c>
      <c r="AJ73" s="998"/>
      <c r="AK73" s="979">
        <v>0</v>
      </c>
      <c r="AL73" s="998"/>
      <c r="AM73" s="979">
        <v>0</v>
      </c>
      <c r="AO73" s="999">
        <v>0</v>
      </c>
      <c r="AQ73" s="953">
        <v>0</v>
      </c>
      <c r="AS73" s="953">
        <v>0</v>
      </c>
      <c r="AU73" s="953">
        <v>0</v>
      </c>
      <c r="AV73" s="930">
        <v>0</v>
      </c>
      <c r="AW73" s="940">
        <v>0</v>
      </c>
    </row>
    <row r="74" spans="1:49" ht="15.75" x14ac:dyDescent="0.25">
      <c r="A74" s="943" t="s">
        <v>60</v>
      </c>
      <c r="B74" s="930" t="s">
        <v>866</v>
      </c>
      <c r="C74" s="944">
        <v>2430</v>
      </c>
      <c r="D74" s="938">
        <v>988</v>
      </c>
      <c r="E74" s="939">
        <v>29640</v>
      </c>
      <c r="F74" s="993">
        <v>11910</v>
      </c>
      <c r="G74" s="930" t="s">
        <v>1075</v>
      </c>
      <c r="H74" s="897">
        <v>3.5636999999999999</v>
      </c>
      <c r="I74" s="979">
        <v>42443.667000000001</v>
      </c>
      <c r="K74" s="930">
        <v>779.21052631578948</v>
      </c>
      <c r="L74" s="930">
        <v>0.2036</v>
      </c>
      <c r="M74" s="994">
        <v>6028.5960000000005</v>
      </c>
      <c r="O74" s="979">
        <v>0</v>
      </c>
      <c r="Q74" s="930">
        <v>14.210526315789474</v>
      </c>
      <c r="R74" s="930">
        <v>1.7611399999999999</v>
      </c>
      <c r="S74" s="994">
        <v>951.01560000000006</v>
      </c>
      <c r="U74" s="930">
        <v>97.10526315789474</v>
      </c>
      <c r="V74" s="930">
        <v>0.2036</v>
      </c>
      <c r="W74" s="994">
        <v>751.28400000000011</v>
      </c>
      <c r="Y74" s="996">
        <v>0</v>
      </c>
      <c r="AA74" s="996">
        <v>0</v>
      </c>
      <c r="AC74" s="996">
        <v>0</v>
      </c>
      <c r="AE74" s="996">
        <v>0</v>
      </c>
      <c r="AG74" s="996">
        <v>0</v>
      </c>
      <c r="AH74" s="1014"/>
      <c r="AI74" s="979">
        <v>-8801</v>
      </c>
      <c r="AJ74" s="998"/>
      <c r="AK74" s="979">
        <v>611.91073729480081</v>
      </c>
      <c r="AL74" s="998"/>
      <c r="AM74" s="979">
        <v>-611.91073729480081</v>
      </c>
      <c r="AO74" s="999">
        <v>41373.562599999997</v>
      </c>
      <c r="AQ74" s="953">
        <v>56726.435266297813</v>
      </c>
      <c r="AS74" s="953">
        <v>-15352.872666297815</v>
      </c>
      <c r="AU74" s="953">
        <v>12030</v>
      </c>
      <c r="AV74" s="930">
        <v>11910</v>
      </c>
      <c r="AW74" s="940">
        <v>-120</v>
      </c>
    </row>
    <row r="75" spans="1:49" ht="15.75" x14ac:dyDescent="0.25">
      <c r="A75" s="943" t="s">
        <v>61</v>
      </c>
      <c r="B75" s="930" t="s">
        <v>867</v>
      </c>
      <c r="C75" s="944">
        <v>2466</v>
      </c>
      <c r="D75" s="938">
        <v>0</v>
      </c>
      <c r="E75" s="939">
        <v>0</v>
      </c>
      <c r="F75" s="993">
        <v>0</v>
      </c>
      <c r="G75" s="930" t="s">
        <v>1075</v>
      </c>
      <c r="H75" s="897">
        <v>3.5636999999999999</v>
      </c>
      <c r="I75" s="979">
        <v>0</v>
      </c>
      <c r="K75" s="930">
        <v>0</v>
      </c>
      <c r="L75" s="930">
        <v>0.2036</v>
      </c>
      <c r="M75" s="994">
        <v>0</v>
      </c>
      <c r="O75" s="979">
        <v>0</v>
      </c>
      <c r="Q75" s="930">
        <v>0</v>
      </c>
      <c r="R75" s="930">
        <v>1.7611399999999999</v>
      </c>
      <c r="S75" s="994">
        <v>0</v>
      </c>
      <c r="U75" s="930">
        <v>0</v>
      </c>
      <c r="V75" s="930">
        <v>0.2036</v>
      </c>
      <c r="W75" s="994">
        <v>0</v>
      </c>
      <c r="Y75" s="996">
        <v>0</v>
      </c>
      <c r="AA75" s="996">
        <v>0</v>
      </c>
      <c r="AC75" s="996">
        <v>0</v>
      </c>
      <c r="AE75" s="996">
        <v>0</v>
      </c>
      <c r="AG75" s="996">
        <v>0</v>
      </c>
      <c r="AH75" s="1014"/>
      <c r="AI75" s="979">
        <v>0</v>
      </c>
      <c r="AJ75" s="998"/>
      <c r="AK75" s="979">
        <v>0</v>
      </c>
      <c r="AL75" s="998"/>
      <c r="AM75" s="979">
        <v>0</v>
      </c>
      <c r="AO75" s="999">
        <v>0</v>
      </c>
      <c r="AQ75" s="953">
        <v>0</v>
      </c>
      <c r="AS75" s="953">
        <v>0</v>
      </c>
      <c r="AU75" s="953">
        <v>0</v>
      </c>
      <c r="AV75" s="930">
        <v>0</v>
      </c>
      <c r="AW75" s="940">
        <v>0</v>
      </c>
    </row>
    <row r="76" spans="1:49" ht="15.75" x14ac:dyDescent="0.25">
      <c r="A76" s="943" t="s">
        <v>106</v>
      </c>
      <c r="B76" s="930" t="s">
        <v>868</v>
      </c>
      <c r="C76" s="944">
        <v>3543</v>
      </c>
      <c r="D76" s="938">
        <v>1482</v>
      </c>
      <c r="E76" s="939">
        <v>44460</v>
      </c>
      <c r="F76" s="993">
        <v>28410</v>
      </c>
      <c r="G76" s="930" t="s">
        <v>1075</v>
      </c>
      <c r="H76" s="897">
        <v>3.5636999999999999</v>
      </c>
      <c r="I76" s="979">
        <v>101244.71699999999</v>
      </c>
      <c r="K76" s="930">
        <v>407.36842105263156</v>
      </c>
      <c r="L76" s="930">
        <v>0.2036</v>
      </c>
      <c r="M76" s="994">
        <v>3151.7279999999996</v>
      </c>
      <c r="O76" s="979">
        <v>0</v>
      </c>
      <c r="Q76" s="930">
        <v>4.7368421052631575</v>
      </c>
      <c r="R76" s="930">
        <v>1.7611399999999999</v>
      </c>
      <c r="S76" s="994">
        <v>317.00519999999995</v>
      </c>
      <c r="U76" s="930">
        <v>19.736842105263158</v>
      </c>
      <c r="V76" s="930">
        <v>0.2036</v>
      </c>
      <c r="W76" s="994">
        <v>152.70000000000002</v>
      </c>
      <c r="Y76" s="996">
        <v>0</v>
      </c>
      <c r="AA76" s="996">
        <v>0</v>
      </c>
      <c r="AC76" s="996">
        <v>0</v>
      </c>
      <c r="AE76" s="996">
        <v>0</v>
      </c>
      <c r="AG76" s="996">
        <v>0</v>
      </c>
      <c r="AH76" s="1014"/>
      <c r="AI76" s="979">
        <v>9348</v>
      </c>
      <c r="AJ76" s="998"/>
      <c r="AK76" s="979">
        <v>1459.6460156629128</v>
      </c>
      <c r="AL76" s="998"/>
      <c r="AM76" s="979">
        <v>-1459.6460156629128</v>
      </c>
      <c r="AO76" s="999">
        <v>114214.15019999999</v>
      </c>
      <c r="AQ76" s="953">
        <v>93667.822015889527</v>
      </c>
      <c r="AS76" s="953">
        <v>20546.328184110462</v>
      </c>
      <c r="AU76" s="953">
        <v>25110</v>
      </c>
      <c r="AV76" s="930">
        <v>28410</v>
      </c>
      <c r="AW76" s="940">
        <v>3300</v>
      </c>
    </row>
    <row r="77" spans="1:49" ht="15.75" x14ac:dyDescent="0.25">
      <c r="A77" s="943" t="s">
        <v>317</v>
      </c>
      <c r="B77" s="930" t="s">
        <v>869</v>
      </c>
      <c r="C77" s="944">
        <v>3158</v>
      </c>
      <c r="D77" s="938">
        <v>1482</v>
      </c>
      <c r="E77" s="939">
        <v>44460</v>
      </c>
      <c r="F77" s="993">
        <v>32250</v>
      </c>
      <c r="G77" s="930" t="s">
        <v>1075</v>
      </c>
      <c r="H77" s="897">
        <v>3.5636999999999999</v>
      </c>
      <c r="I77" s="979">
        <v>114929.325</v>
      </c>
      <c r="K77" s="930">
        <v>2478.1578947368421</v>
      </c>
      <c r="L77" s="930">
        <v>0.2036</v>
      </c>
      <c r="M77" s="994">
        <v>19173.011999999999</v>
      </c>
      <c r="O77" s="979">
        <v>0</v>
      </c>
      <c r="Q77" s="930">
        <v>48.94736842105263</v>
      </c>
      <c r="R77" s="930">
        <v>1.7611399999999999</v>
      </c>
      <c r="S77" s="994">
        <v>3275.7203999999997</v>
      </c>
      <c r="U77" s="930">
        <v>719.21052631578948</v>
      </c>
      <c r="V77" s="930">
        <v>0.2036</v>
      </c>
      <c r="W77" s="994">
        <v>5564.3879999999999</v>
      </c>
      <c r="Y77" s="996">
        <v>0</v>
      </c>
      <c r="AA77" s="996">
        <v>0</v>
      </c>
      <c r="AC77" s="996">
        <v>0</v>
      </c>
      <c r="AE77" s="996">
        <v>0</v>
      </c>
      <c r="AG77" s="996">
        <v>0</v>
      </c>
      <c r="AH77" s="1014"/>
      <c r="AI77" s="979">
        <v>121</v>
      </c>
      <c r="AJ77" s="998"/>
      <c r="AK77" s="979">
        <v>1656.9371349922187</v>
      </c>
      <c r="AL77" s="998"/>
      <c r="AM77" s="979">
        <v>-1656.9371349922187</v>
      </c>
      <c r="AO77" s="999">
        <v>143063.4454</v>
      </c>
      <c r="AQ77" s="953">
        <v>147959.92238607508</v>
      </c>
      <c r="AS77" s="953">
        <v>-4896.4769860750821</v>
      </c>
      <c r="AU77" s="953">
        <v>32670</v>
      </c>
      <c r="AV77" s="930">
        <v>32250</v>
      </c>
      <c r="AW77" s="940">
        <v>-420</v>
      </c>
    </row>
    <row r="78" spans="1:49" ht="15.75" x14ac:dyDescent="0.25">
      <c r="A78" s="951" t="s">
        <v>623</v>
      </c>
      <c r="B78" s="930" t="s">
        <v>870</v>
      </c>
      <c r="C78" s="952">
        <v>3531</v>
      </c>
      <c r="D78" s="938">
        <v>0</v>
      </c>
      <c r="E78" s="939">
        <v>0</v>
      </c>
      <c r="F78" s="993">
        <v>0</v>
      </c>
      <c r="G78" s="930" t="s">
        <v>1075</v>
      </c>
      <c r="H78" s="897">
        <v>3.5636999999999999</v>
      </c>
      <c r="I78" s="979">
        <v>0</v>
      </c>
      <c r="K78" s="930">
        <v>0</v>
      </c>
      <c r="L78" s="930">
        <v>0.2036</v>
      </c>
      <c r="M78" s="994">
        <v>0</v>
      </c>
      <c r="O78" s="979">
        <v>0</v>
      </c>
      <c r="Q78" s="930">
        <v>0</v>
      </c>
      <c r="R78" s="930">
        <v>1.7611399999999999</v>
      </c>
      <c r="S78" s="994">
        <v>0</v>
      </c>
      <c r="U78" s="930">
        <v>0</v>
      </c>
      <c r="V78" s="930">
        <v>0.2036</v>
      </c>
      <c r="W78" s="994">
        <v>0</v>
      </c>
      <c r="Y78" s="996">
        <v>0</v>
      </c>
      <c r="AA78" s="996">
        <v>0</v>
      </c>
      <c r="AC78" s="996">
        <v>0</v>
      </c>
      <c r="AE78" s="996">
        <v>0</v>
      </c>
      <c r="AG78" s="996">
        <v>0</v>
      </c>
      <c r="AH78" s="1014"/>
      <c r="AI78" s="979">
        <v>0</v>
      </c>
      <c r="AJ78" s="998"/>
      <c r="AK78" s="979">
        <v>0</v>
      </c>
      <c r="AL78" s="998"/>
      <c r="AM78" s="979">
        <v>0</v>
      </c>
      <c r="AO78" s="999">
        <v>0</v>
      </c>
      <c r="AQ78" s="953">
        <v>0</v>
      </c>
      <c r="AS78" s="953">
        <v>0</v>
      </c>
      <c r="AU78" s="953">
        <v>0</v>
      </c>
      <c r="AV78" s="930">
        <v>0</v>
      </c>
      <c r="AW78" s="940">
        <v>0</v>
      </c>
    </row>
    <row r="79" spans="1:49" ht="15.75" x14ac:dyDescent="0.25">
      <c r="A79" s="943" t="s">
        <v>318</v>
      </c>
      <c r="B79" s="930" t="s">
        <v>871</v>
      </c>
      <c r="C79" s="944">
        <v>3526</v>
      </c>
      <c r="D79" s="938">
        <v>760</v>
      </c>
      <c r="E79" s="939">
        <v>22800</v>
      </c>
      <c r="F79" s="993">
        <v>19170</v>
      </c>
      <c r="G79" s="930" t="s">
        <v>1075</v>
      </c>
      <c r="H79" s="897">
        <v>3.5636999999999999</v>
      </c>
      <c r="I79" s="979">
        <v>68316.129000000001</v>
      </c>
      <c r="K79" s="930">
        <v>1347.6315789473683</v>
      </c>
      <c r="L79" s="930">
        <v>0.2036</v>
      </c>
      <c r="M79" s="994">
        <v>10426.355999999998</v>
      </c>
      <c r="O79" s="979">
        <v>0</v>
      </c>
      <c r="Q79" s="930">
        <v>15</v>
      </c>
      <c r="R79" s="930">
        <v>1.7611399999999999</v>
      </c>
      <c r="S79" s="994">
        <v>1003.8498</v>
      </c>
      <c r="U79" s="930">
        <v>291.31578947368422</v>
      </c>
      <c r="V79" s="930">
        <v>0.2036</v>
      </c>
      <c r="W79" s="994">
        <v>2253.8519999999999</v>
      </c>
      <c r="Y79" s="996">
        <v>0</v>
      </c>
      <c r="AA79" s="996">
        <v>0</v>
      </c>
      <c r="AC79" s="996">
        <v>0</v>
      </c>
      <c r="AE79" s="996">
        <v>0</v>
      </c>
      <c r="AG79" s="996">
        <v>0</v>
      </c>
      <c r="AH79" s="1014"/>
      <c r="AI79" s="979">
        <v>-12722</v>
      </c>
      <c r="AJ79" s="998"/>
      <c r="AK79" s="979">
        <v>984.91425977677</v>
      </c>
      <c r="AL79" s="998"/>
      <c r="AM79" s="979">
        <v>-984.91425977677</v>
      </c>
      <c r="AO79" s="999">
        <v>69278.186799999996</v>
      </c>
      <c r="AQ79" s="953">
        <v>87133.835600000006</v>
      </c>
      <c r="AS79" s="953">
        <v>-17855.64880000001</v>
      </c>
      <c r="AT79" s="930" t="s">
        <v>1326</v>
      </c>
      <c r="AU79" s="953">
        <v>20430</v>
      </c>
      <c r="AV79" s="930">
        <v>19170</v>
      </c>
      <c r="AW79" s="940">
        <v>-1260</v>
      </c>
    </row>
    <row r="80" spans="1:49" ht="15.75" x14ac:dyDescent="0.25">
      <c r="A80" s="943" t="s">
        <v>319</v>
      </c>
      <c r="B80" s="930" t="s">
        <v>872</v>
      </c>
      <c r="C80" s="944">
        <v>3535</v>
      </c>
      <c r="D80" s="938">
        <v>0</v>
      </c>
      <c r="E80" s="939">
        <v>0</v>
      </c>
      <c r="F80" s="993">
        <v>0</v>
      </c>
      <c r="G80" s="930" t="s">
        <v>1075</v>
      </c>
      <c r="H80" s="897">
        <v>3.5636999999999999</v>
      </c>
      <c r="I80" s="979">
        <v>0</v>
      </c>
      <c r="K80" s="930">
        <v>0</v>
      </c>
      <c r="L80" s="930">
        <v>0.2036</v>
      </c>
      <c r="M80" s="994">
        <v>0</v>
      </c>
      <c r="O80" s="979">
        <v>0</v>
      </c>
      <c r="Q80" s="930">
        <v>0</v>
      </c>
      <c r="R80" s="930">
        <v>1.7611399999999999</v>
      </c>
      <c r="S80" s="994">
        <v>0</v>
      </c>
      <c r="U80" s="930">
        <v>0</v>
      </c>
      <c r="V80" s="930">
        <v>0.2036</v>
      </c>
      <c r="W80" s="994">
        <v>0</v>
      </c>
      <c r="Y80" s="996">
        <v>0</v>
      </c>
      <c r="AA80" s="996">
        <v>0</v>
      </c>
      <c r="AC80" s="996">
        <v>0</v>
      </c>
      <c r="AE80" s="996">
        <v>0</v>
      </c>
      <c r="AG80" s="996">
        <v>0</v>
      </c>
      <c r="AH80" s="1014"/>
      <c r="AI80" s="979">
        <v>0</v>
      </c>
      <c r="AJ80" s="998"/>
      <c r="AK80" s="979">
        <v>0</v>
      </c>
      <c r="AL80" s="998"/>
      <c r="AM80" s="979">
        <v>0</v>
      </c>
      <c r="AO80" s="999">
        <v>0</v>
      </c>
      <c r="AQ80" s="953">
        <v>0</v>
      </c>
      <c r="AS80" s="953">
        <v>0</v>
      </c>
      <c r="AU80" s="953">
        <v>0</v>
      </c>
      <c r="AV80" s="930">
        <v>0</v>
      </c>
      <c r="AW80" s="940">
        <v>0</v>
      </c>
    </row>
    <row r="81" spans="1:49" ht="15.75" x14ac:dyDescent="0.25">
      <c r="A81" s="945" t="s">
        <v>620</v>
      </c>
      <c r="B81" s="930" t="s">
        <v>873</v>
      </c>
      <c r="C81" s="946">
        <v>2008</v>
      </c>
      <c r="D81" s="938">
        <v>0</v>
      </c>
      <c r="E81" s="939">
        <v>0</v>
      </c>
      <c r="F81" s="993">
        <v>0</v>
      </c>
      <c r="G81" s="930" t="s">
        <v>1075</v>
      </c>
      <c r="H81" s="897">
        <v>3.5636999999999999</v>
      </c>
      <c r="I81" s="979">
        <v>0</v>
      </c>
      <c r="K81" s="930">
        <v>0</v>
      </c>
      <c r="L81" s="930">
        <v>0.2036</v>
      </c>
      <c r="M81" s="994">
        <v>0</v>
      </c>
      <c r="O81" s="979">
        <v>0</v>
      </c>
      <c r="Q81" s="930">
        <v>0</v>
      </c>
      <c r="R81" s="930">
        <v>1.7611399999999999</v>
      </c>
      <c r="S81" s="994">
        <v>0</v>
      </c>
      <c r="U81" s="930">
        <v>0</v>
      </c>
      <c r="V81" s="930">
        <v>0.2036</v>
      </c>
      <c r="W81" s="994">
        <v>0</v>
      </c>
      <c r="Y81" s="996">
        <v>0</v>
      </c>
      <c r="AA81" s="996">
        <v>0</v>
      </c>
      <c r="AC81" s="996">
        <v>0</v>
      </c>
      <c r="AE81" s="996">
        <v>0</v>
      </c>
      <c r="AG81" s="996">
        <v>0</v>
      </c>
      <c r="AH81" s="1014"/>
      <c r="AI81" s="979">
        <v>0</v>
      </c>
      <c r="AJ81" s="998"/>
      <c r="AK81" s="979">
        <v>0</v>
      </c>
      <c r="AL81" s="998"/>
      <c r="AM81" s="979">
        <v>0</v>
      </c>
      <c r="AO81" s="999">
        <v>0</v>
      </c>
      <c r="AQ81" s="953">
        <v>0</v>
      </c>
      <c r="AS81" s="953">
        <v>0</v>
      </c>
      <c r="AU81" s="953">
        <v>0</v>
      </c>
      <c r="AV81" s="930">
        <v>0</v>
      </c>
      <c r="AW81" s="940">
        <v>0</v>
      </c>
    </row>
    <row r="82" spans="1:49" ht="15.75" x14ac:dyDescent="0.25">
      <c r="A82" s="943" t="s">
        <v>321</v>
      </c>
      <c r="B82" s="930" t="s">
        <v>874</v>
      </c>
      <c r="C82" s="944">
        <v>3542</v>
      </c>
      <c r="D82" s="938">
        <v>0</v>
      </c>
      <c r="E82" s="939">
        <v>0</v>
      </c>
      <c r="F82" s="993">
        <v>0</v>
      </c>
      <c r="G82" s="930" t="s">
        <v>1075</v>
      </c>
      <c r="H82" s="897">
        <v>3.5636999999999999</v>
      </c>
      <c r="I82" s="979">
        <v>0</v>
      </c>
      <c r="K82" s="930">
        <v>0</v>
      </c>
      <c r="L82" s="930">
        <v>0.2036</v>
      </c>
      <c r="M82" s="994">
        <v>0</v>
      </c>
      <c r="O82" s="979">
        <v>0</v>
      </c>
      <c r="Q82" s="930">
        <v>0</v>
      </c>
      <c r="R82" s="930">
        <v>1.7611399999999999</v>
      </c>
      <c r="S82" s="994">
        <v>0</v>
      </c>
      <c r="U82" s="930">
        <v>0</v>
      </c>
      <c r="V82" s="930">
        <v>0.2036</v>
      </c>
      <c r="W82" s="994">
        <v>0</v>
      </c>
      <c r="Y82" s="996">
        <v>0</v>
      </c>
      <c r="AA82" s="996">
        <v>0</v>
      </c>
      <c r="AC82" s="996">
        <v>0</v>
      </c>
      <c r="AE82" s="996">
        <v>0</v>
      </c>
      <c r="AG82" s="996">
        <v>0</v>
      </c>
      <c r="AH82" s="1014"/>
      <c r="AI82" s="979">
        <v>0</v>
      </c>
      <c r="AJ82" s="998"/>
      <c r="AK82" s="979">
        <v>0</v>
      </c>
      <c r="AL82" s="998"/>
      <c r="AM82" s="979">
        <v>0</v>
      </c>
      <c r="AO82" s="999">
        <v>0</v>
      </c>
      <c r="AQ82" s="953">
        <v>0</v>
      </c>
      <c r="AS82" s="953">
        <v>0</v>
      </c>
      <c r="AU82" s="953">
        <v>0</v>
      </c>
      <c r="AV82" s="930">
        <v>0</v>
      </c>
      <c r="AW82" s="940">
        <v>0</v>
      </c>
    </row>
    <row r="83" spans="1:49" ht="15.75" x14ac:dyDescent="0.25">
      <c r="A83" s="943" t="s">
        <v>322</v>
      </c>
      <c r="B83" s="930" t="s">
        <v>875</v>
      </c>
      <c r="C83" s="944">
        <v>3528</v>
      </c>
      <c r="D83" s="938">
        <v>1976</v>
      </c>
      <c r="E83" s="939">
        <v>59280</v>
      </c>
      <c r="F83" s="993">
        <v>23388</v>
      </c>
      <c r="G83" s="930" t="s">
        <v>1075</v>
      </c>
      <c r="H83" s="897">
        <v>3.5636999999999999</v>
      </c>
      <c r="I83" s="979">
        <v>83347.815600000002</v>
      </c>
      <c r="K83" s="930">
        <v>508.4210526315789</v>
      </c>
      <c r="L83" s="930">
        <v>0.2036</v>
      </c>
      <c r="M83" s="994">
        <v>3933.5519999999997</v>
      </c>
      <c r="O83" s="979">
        <v>0</v>
      </c>
      <c r="Q83" s="930">
        <v>11.052631578947368</v>
      </c>
      <c r="R83" s="930">
        <v>1.7611399999999999</v>
      </c>
      <c r="S83" s="994">
        <v>739.67879999999991</v>
      </c>
      <c r="U83" s="930">
        <v>147.47368421052633</v>
      </c>
      <c r="V83" s="930">
        <v>0.2036</v>
      </c>
      <c r="W83" s="994">
        <v>1140.9744000000001</v>
      </c>
      <c r="Y83" s="996">
        <v>0</v>
      </c>
      <c r="AA83" s="996">
        <v>0</v>
      </c>
      <c r="AC83" s="996">
        <v>0</v>
      </c>
      <c r="AE83" s="996">
        <v>0</v>
      </c>
      <c r="AG83" s="996">
        <v>0</v>
      </c>
      <c r="AH83" s="1014"/>
      <c r="AI83" s="979">
        <v>-5053</v>
      </c>
      <c r="AJ83" s="998"/>
      <c r="AK83" s="979">
        <v>1201.6262236650546</v>
      </c>
      <c r="AL83" s="998"/>
      <c r="AM83" s="979">
        <v>-1201.6262236650546</v>
      </c>
      <c r="AO83" s="999">
        <v>84109.020799999998</v>
      </c>
      <c r="AQ83" s="953">
        <v>89084.285600000003</v>
      </c>
      <c r="AS83" s="953">
        <v>-4975.2648000000045</v>
      </c>
      <c r="AU83" s="953">
        <v>23892</v>
      </c>
      <c r="AV83" s="930">
        <v>23388</v>
      </c>
      <c r="AW83" s="940">
        <v>-504</v>
      </c>
    </row>
    <row r="84" spans="1:49" ht="15.75" x14ac:dyDescent="0.25">
      <c r="A84" s="943" t="s">
        <v>323</v>
      </c>
      <c r="B84" s="930" t="s">
        <v>876</v>
      </c>
      <c r="C84" s="944">
        <v>3534</v>
      </c>
      <c r="D84" s="938">
        <v>0</v>
      </c>
      <c r="E84" s="939">
        <v>0</v>
      </c>
      <c r="F84" s="993">
        <v>0</v>
      </c>
      <c r="G84" s="930" t="s">
        <v>1075</v>
      </c>
      <c r="H84" s="897">
        <v>3.5636999999999999</v>
      </c>
      <c r="I84" s="979">
        <v>0</v>
      </c>
      <c r="K84" s="930">
        <v>0</v>
      </c>
      <c r="L84" s="930">
        <v>0.2036</v>
      </c>
      <c r="M84" s="994">
        <v>0</v>
      </c>
      <c r="O84" s="979">
        <v>0</v>
      </c>
      <c r="Q84" s="930">
        <v>0</v>
      </c>
      <c r="R84" s="930">
        <v>1.7611399999999999</v>
      </c>
      <c r="S84" s="994">
        <v>0</v>
      </c>
      <c r="U84" s="930">
        <v>0</v>
      </c>
      <c r="V84" s="930">
        <v>0.2036</v>
      </c>
      <c r="W84" s="994">
        <v>0</v>
      </c>
      <c r="Y84" s="996">
        <v>0</v>
      </c>
      <c r="AA84" s="996">
        <v>0</v>
      </c>
      <c r="AC84" s="996">
        <v>0</v>
      </c>
      <c r="AE84" s="996">
        <v>0</v>
      </c>
      <c r="AG84" s="996">
        <v>0</v>
      </c>
      <c r="AH84" s="1014"/>
      <c r="AI84" s="979">
        <v>0</v>
      </c>
      <c r="AJ84" s="998"/>
      <c r="AK84" s="979">
        <v>0</v>
      </c>
      <c r="AL84" s="998"/>
      <c r="AM84" s="979">
        <v>0</v>
      </c>
      <c r="AO84" s="999">
        <v>0</v>
      </c>
      <c r="AQ84" s="953">
        <v>0</v>
      </c>
      <c r="AS84" s="953">
        <v>0</v>
      </c>
      <c r="AU84" s="953">
        <v>0</v>
      </c>
      <c r="AV84" s="930">
        <v>0</v>
      </c>
      <c r="AW84" s="940">
        <v>0</v>
      </c>
    </row>
    <row r="85" spans="1:49" ht="15.75" x14ac:dyDescent="0.25">
      <c r="A85" s="943" t="s">
        <v>324</v>
      </c>
      <c r="B85" s="930" t="s">
        <v>877</v>
      </c>
      <c r="C85" s="944">
        <v>3532</v>
      </c>
      <c r="D85" s="938">
        <v>0</v>
      </c>
      <c r="E85" s="939">
        <v>0</v>
      </c>
      <c r="F85" s="993">
        <v>0</v>
      </c>
      <c r="G85" s="930" t="s">
        <v>1075</v>
      </c>
      <c r="H85" s="897">
        <v>3.5636999999999999</v>
      </c>
      <c r="I85" s="979">
        <v>0</v>
      </c>
      <c r="K85" s="930">
        <v>0</v>
      </c>
      <c r="L85" s="930">
        <v>0.2036</v>
      </c>
      <c r="M85" s="994">
        <v>0</v>
      </c>
      <c r="O85" s="979">
        <v>0</v>
      </c>
      <c r="Q85" s="930">
        <v>0</v>
      </c>
      <c r="R85" s="930">
        <v>1.7611399999999999</v>
      </c>
      <c r="S85" s="994">
        <v>0</v>
      </c>
      <c r="U85" s="930">
        <v>0</v>
      </c>
      <c r="V85" s="930">
        <v>0.2036</v>
      </c>
      <c r="W85" s="994">
        <v>0</v>
      </c>
      <c r="Y85" s="996">
        <v>0</v>
      </c>
      <c r="AA85" s="996">
        <v>0</v>
      </c>
      <c r="AC85" s="996">
        <v>0</v>
      </c>
      <c r="AE85" s="996">
        <v>0</v>
      </c>
      <c r="AG85" s="996">
        <v>0</v>
      </c>
      <c r="AH85" s="1014"/>
      <c r="AI85" s="979">
        <v>0</v>
      </c>
      <c r="AJ85" s="998"/>
      <c r="AK85" s="979">
        <v>0</v>
      </c>
      <c r="AL85" s="998"/>
      <c r="AM85" s="979">
        <v>0</v>
      </c>
      <c r="AO85" s="999">
        <v>0</v>
      </c>
      <c r="AQ85" s="953">
        <v>0</v>
      </c>
      <c r="AS85" s="953">
        <v>0</v>
      </c>
      <c r="AU85" s="953">
        <v>0</v>
      </c>
      <c r="AV85" s="930">
        <v>0</v>
      </c>
      <c r="AW85" s="940">
        <v>0</v>
      </c>
    </row>
    <row r="86" spans="1:49" ht="15.75" x14ac:dyDescent="0.25">
      <c r="A86" s="943" t="s">
        <v>69</v>
      </c>
      <c r="B86" s="930" t="s">
        <v>878</v>
      </c>
      <c r="C86" s="944">
        <v>3546</v>
      </c>
      <c r="D86" s="938">
        <v>1482</v>
      </c>
      <c r="E86" s="939">
        <v>44460</v>
      </c>
      <c r="F86" s="993">
        <v>39420</v>
      </c>
      <c r="G86" s="930" t="s">
        <v>1075</v>
      </c>
      <c r="H86" s="897">
        <v>3.5636999999999999</v>
      </c>
      <c r="I86" s="979">
        <v>140481.054</v>
      </c>
      <c r="K86" s="930">
        <v>2517.6315789473683</v>
      </c>
      <c r="L86" s="930">
        <v>0.2036</v>
      </c>
      <c r="M86" s="994">
        <v>19478.411999999997</v>
      </c>
      <c r="O86" s="979">
        <v>0</v>
      </c>
      <c r="Q86" s="930">
        <v>38.684210526315788</v>
      </c>
      <c r="R86" s="930">
        <v>1.7611399999999999</v>
      </c>
      <c r="S86" s="994">
        <v>2588.8757999999998</v>
      </c>
      <c r="U86" s="930">
        <v>386.05263157894734</v>
      </c>
      <c r="V86" s="930">
        <v>0.2036</v>
      </c>
      <c r="W86" s="994">
        <v>2986.8119999999999</v>
      </c>
      <c r="Y86" s="996">
        <v>0</v>
      </c>
      <c r="AA86" s="996">
        <v>0</v>
      </c>
      <c r="AC86" s="996">
        <v>0</v>
      </c>
      <c r="AE86" s="996">
        <v>0</v>
      </c>
      <c r="AG86" s="996">
        <v>0</v>
      </c>
      <c r="AH86" s="1014"/>
      <c r="AI86" s="979">
        <v>-18107</v>
      </c>
      <c r="AJ86" s="998"/>
      <c r="AK86" s="979">
        <v>2025.3166468649074</v>
      </c>
      <c r="AL86" s="998"/>
      <c r="AM86" s="979">
        <v>-2025.3166468649074</v>
      </c>
      <c r="AO86" s="999">
        <v>147428.15380000003</v>
      </c>
      <c r="AQ86" s="953">
        <v>191108.45698443236</v>
      </c>
      <c r="AS86" s="953">
        <v>-43680.303184432327</v>
      </c>
      <c r="AT86" s="930" t="s">
        <v>1326</v>
      </c>
      <c r="AU86" s="953">
        <v>44460</v>
      </c>
      <c r="AV86" s="930">
        <v>39420</v>
      </c>
      <c r="AW86" s="940">
        <v>-5040</v>
      </c>
    </row>
    <row r="87" spans="1:49" ht="15.75" x14ac:dyDescent="0.25">
      <c r="A87" s="943" t="s">
        <v>325</v>
      </c>
      <c r="B87" s="930" t="s">
        <v>879</v>
      </c>
      <c r="C87" s="944">
        <v>3530</v>
      </c>
      <c r="D87" s="938">
        <v>988</v>
      </c>
      <c r="E87" s="939">
        <v>29640</v>
      </c>
      <c r="F87" s="993">
        <v>27990</v>
      </c>
      <c r="G87" s="930" t="s">
        <v>1075</v>
      </c>
      <c r="H87" s="897">
        <v>3.5636999999999999</v>
      </c>
      <c r="I87" s="979">
        <v>99747.963000000003</v>
      </c>
      <c r="K87" s="930">
        <v>80.526315789473671</v>
      </c>
      <c r="L87" s="930">
        <v>0.2036</v>
      </c>
      <c r="M87" s="994">
        <v>623.01599999999996</v>
      </c>
      <c r="O87" s="979">
        <v>0</v>
      </c>
      <c r="Q87" s="930">
        <v>18.94736842105263</v>
      </c>
      <c r="R87" s="930">
        <v>1.7611399999999999</v>
      </c>
      <c r="S87" s="994">
        <v>1268.0207999999998</v>
      </c>
      <c r="U87" s="930">
        <v>23.684210526315791</v>
      </c>
      <c r="V87" s="930">
        <v>0.2036</v>
      </c>
      <c r="W87" s="994">
        <v>183.24</v>
      </c>
      <c r="Y87" s="996">
        <v>0</v>
      </c>
      <c r="AA87" s="996">
        <v>0</v>
      </c>
      <c r="AC87" s="996">
        <v>0</v>
      </c>
      <c r="AE87" s="996">
        <v>0</v>
      </c>
      <c r="AG87" s="996">
        <v>0</v>
      </c>
      <c r="AH87" s="1014"/>
      <c r="AI87" s="979">
        <v>-903</v>
      </c>
      <c r="AJ87" s="998"/>
      <c r="AK87" s="979">
        <v>1438.0672994862698</v>
      </c>
      <c r="AL87" s="998"/>
      <c r="AM87" s="979">
        <v>-1438.0672994862698</v>
      </c>
      <c r="AO87" s="999">
        <v>100919.23980000001</v>
      </c>
      <c r="AQ87" s="953">
        <v>96501.115600000005</v>
      </c>
      <c r="AS87" s="953">
        <v>4418.1242000000057</v>
      </c>
      <c r="AU87" s="953">
        <v>26760</v>
      </c>
      <c r="AV87" s="930">
        <v>27990</v>
      </c>
      <c r="AW87" s="940">
        <v>1230</v>
      </c>
    </row>
    <row r="88" spans="1:49" ht="15.75" x14ac:dyDescent="0.25">
      <c r="A88" s="943" t="s">
        <v>70</v>
      </c>
      <c r="B88" s="930" t="s">
        <v>880</v>
      </c>
      <c r="C88" s="944">
        <v>2459</v>
      </c>
      <c r="D88" s="938">
        <v>0</v>
      </c>
      <c r="E88" s="939">
        <v>0</v>
      </c>
      <c r="F88" s="993">
        <v>0</v>
      </c>
      <c r="G88" s="930" t="s">
        <v>1075</v>
      </c>
      <c r="H88" s="897">
        <v>3.5636999999999999</v>
      </c>
      <c r="I88" s="979">
        <v>0</v>
      </c>
      <c r="K88" s="930">
        <v>0</v>
      </c>
      <c r="L88" s="930">
        <v>0.2036</v>
      </c>
      <c r="M88" s="994">
        <v>0</v>
      </c>
      <c r="O88" s="979">
        <v>0</v>
      </c>
      <c r="Q88" s="930">
        <v>0</v>
      </c>
      <c r="R88" s="930">
        <v>1.7611399999999999</v>
      </c>
      <c r="S88" s="994">
        <v>0</v>
      </c>
      <c r="U88" s="930">
        <v>0</v>
      </c>
      <c r="V88" s="930">
        <v>0.2036</v>
      </c>
      <c r="W88" s="994">
        <v>0</v>
      </c>
      <c r="Y88" s="996">
        <v>0</v>
      </c>
      <c r="AA88" s="996">
        <v>0</v>
      </c>
      <c r="AC88" s="996">
        <v>0</v>
      </c>
      <c r="AE88" s="996">
        <v>0</v>
      </c>
      <c r="AG88" s="996">
        <v>0</v>
      </c>
      <c r="AH88" s="1014"/>
      <c r="AI88" s="979">
        <v>0</v>
      </c>
      <c r="AJ88" s="998"/>
      <c r="AK88" s="979">
        <v>0</v>
      </c>
      <c r="AL88" s="998"/>
      <c r="AM88" s="979">
        <v>0</v>
      </c>
      <c r="AO88" s="999">
        <v>0</v>
      </c>
      <c r="AQ88" s="953">
        <v>0</v>
      </c>
      <c r="AS88" s="953">
        <v>0</v>
      </c>
      <c r="AU88" s="953">
        <v>0</v>
      </c>
      <c r="AV88" s="930">
        <v>0</v>
      </c>
      <c r="AW88" s="940">
        <v>0</v>
      </c>
    </row>
    <row r="89" spans="1:49" x14ac:dyDescent="0.25">
      <c r="C89" s="891"/>
      <c r="D89" s="941">
        <v>49818</v>
      </c>
      <c r="E89" s="941">
        <v>1494540</v>
      </c>
      <c r="F89" s="941">
        <v>1130070</v>
      </c>
      <c r="I89" s="1000">
        <v>4027230.4590000012</v>
      </c>
      <c r="J89" s="1001"/>
      <c r="K89" s="941">
        <v>47205.578947368413</v>
      </c>
      <c r="L89" s="1001"/>
      <c r="M89" s="1000">
        <v>365220.12320000015</v>
      </c>
      <c r="N89" s="1001"/>
      <c r="O89" s="1000">
        <v>0</v>
      </c>
      <c r="P89" s="1001"/>
      <c r="Q89" s="941">
        <v>1109.9984210526316</v>
      </c>
      <c r="R89" s="1001"/>
      <c r="S89" s="1000">
        <v>74284.779531599968</v>
      </c>
      <c r="T89" s="1001"/>
      <c r="U89" s="941">
        <v>5886.1578947368434</v>
      </c>
      <c r="V89" s="1001"/>
      <c r="W89" s="1000">
        <v>45540.026399999995</v>
      </c>
      <c r="X89" s="1001"/>
      <c r="Y89" s="1000">
        <v>0</v>
      </c>
      <c r="Z89" s="1001"/>
      <c r="AA89" s="1000">
        <v>0</v>
      </c>
      <c r="AB89" s="1002"/>
      <c r="AC89" s="1000">
        <v>0</v>
      </c>
      <c r="AD89" s="1001"/>
      <c r="AE89" s="1000">
        <v>0</v>
      </c>
      <c r="AF89" s="1001"/>
      <c r="AG89" s="1000">
        <v>0</v>
      </c>
      <c r="AH89" s="1003"/>
      <c r="AI89" s="1000">
        <v>-165008</v>
      </c>
      <c r="AJ89" s="1004"/>
      <c r="AK89" s="1000">
        <v>58060.618546997102</v>
      </c>
      <c r="AL89" s="1004"/>
      <c r="AM89" s="1000">
        <v>-55656.133030171193</v>
      </c>
      <c r="AN89" s="1001"/>
      <c r="AO89" s="1005">
        <v>4349671.8736484265</v>
      </c>
      <c r="AQ89" s="1000">
        <v>4626932.7436418282</v>
      </c>
      <c r="AS89" s="1000">
        <v>-277260.86999340227</v>
      </c>
      <c r="AU89" s="1000">
        <v>1151748</v>
      </c>
      <c r="AV89" s="1000">
        <v>1130070</v>
      </c>
      <c r="AW89" s="1000">
        <v>-21678</v>
      </c>
    </row>
    <row r="90" spans="1:49" x14ac:dyDescent="0.25">
      <c r="AU90" s="953"/>
    </row>
    <row r="91" spans="1:49" x14ac:dyDescent="0.25">
      <c r="AU91" s="953"/>
    </row>
    <row r="92" spans="1:49" x14ac:dyDescent="0.25">
      <c r="C92" s="891" t="s">
        <v>1268</v>
      </c>
      <c r="D92" s="953">
        <v>62890</v>
      </c>
      <c r="E92" s="953">
        <v>1886700</v>
      </c>
      <c r="F92" s="953">
        <v>1434216</v>
      </c>
      <c r="G92" s="953"/>
      <c r="I92" s="1000">
        <v>5707515.450600001</v>
      </c>
      <c r="K92" s="953">
        <v>64006.684210526306</v>
      </c>
      <c r="M92" s="1000">
        <v>495206.91440000013</v>
      </c>
      <c r="O92" s="1000">
        <v>800000</v>
      </c>
      <c r="Q92" s="953">
        <v>1420.2615789473684</v>
      </c>
      <c r="S92" s="1000">
        <v>95048.620131599979</v>
      </c>
      <c r="U92" s="953">
        <v>8391.3157894736851</v>
      </c>
      <c r="W92" s="1000">
        <v>64921.932000000001</v>
      </c>
      <c r="Y92" s="1000">
        <v>0</v>
      </c>
      <c r="AA92" s="1000">
        <v>168620</v>
      </c>
      <c r="AC92" s="1000">
        <v>64996</v>
      </c>
      <c r="AE92" s="1000">
        <v>33966.442860000003</v>
      </c>
      <c r="AG92" s="1000">
        <v>10511</v>
      </c>
      <c r="AH92" s="1011"/>
      <c r="AI92" s="1000">
        <v>-264014</v>
      </c>
      <c r="AJ92" s="1012"/>
      <c r="AK92" s="1000">
        <v>73687</v>
      </c>
      <c r="AL92" s="1012"/>
      <c r="AM92" s="1000">
        <v>-71282.514483174091</v>
      </c>
      <c r="AO92" s="1005">
        <v>7179176.8455084264</v>
      </c>
      <c r="AQ92" s="1000">
        <v>7624859.5356270503</v>
      </c>
      <c r="AS92" s="1000">
        <v>-445682.6901186246</v>
      </c>
      <c r="AU92" s="1000">
        <v>1462740</v>
      </c>
      <c r="AV92" s="1000">
        <v>1434216</v>
      </c>
      <c r="AW92" s="1000">
        <v>-21678</v>
      </c>
    </row>
    <row r="93" spans="1:49" x14ac:dyDescent="0.25">
      <c r="F93" s="953"/>
      <c r="AO93" s="999">
        <v>7162692.9171316009</v>
      </c>
      <c r="AP93" s="930" t="s">
        <v>1327</v>
      </c>
      <c r="AQ93" s="953"/>
      <c r="AS93" s="953"/>
    </row>
    <row r="94" spans="1:49" x14ac:dyDescent="0.25">
      <c r="AQ94" s="953"/>
    </row>
    <row r="95" spans="1:49" x14ac:dyDescent="0.25">
      <c r="A95" s="925" t="s">
        <v>1072</v>
      </c>
      <c r="B95" s="926" t="s">
        <v>1073</v>
      </c>
      <c r="C95" s="926">
        <v>206189</v>
      </c>
      <c r="D95" s="954"/>
      <c r="E95" s="954"/>
      <c r="F95" s="953">
        <v>16920</v>
      </c>
      <c r="G95" s="930" t="s">
        <v>1074</v>
      </c>
      <c r="H95" s="897">
        <v>3.6058989272000002</v>
      </c>
      <c r="I95" s="979">
        <v>61011.809848224002</v>
      </c>
      <c r="K95" s="953">
        <v>883.42105263157896</v>
      </c>
      <c r="L95" s="930">
        <v>0.2036</v>
      </c>
      <c r="M95" s="994">
        <v>6834.8519999999999</v>
      </c>
      <c r="O95" s="987">
        <v>0</v>
      </c>
      <c r="Q95" s="953">
        <v>0</v>
      </c>
      <c r="R95" s="930">
        <v>1.7611399999999999</v>
      </c>
      <c r="S95" s="994">
        <v>0</v>
      </c>
      <c r="U95" s="953">
        <v>128.68421052631578</v>
      </c>
      <c r="V95" s="930">
        <v>0.2036</v>
      </c>
      <c r="W95" s="994">
        <v>995.60400000000004</v>
      </c>
      <c r="Y95" s="987">
        <v>0</v>
      </c>
      <c r="AA95" s="996">
        <v>0</v>
      </c>
      <c r="AC95" s="996">
        <v>0</v>
      </c>
      <c r="AE95" s="996">
        <v>0</v>
      </c>
      <c r="AG95" s="996">
        <v>0</v>
      </c>
      <c r="AH95" s="1014"/>
      <c r="AI95" s="987">
        <v>0</v>
      </c>
      <c r="AK95" s="996">
        <v>0</v>
      </c>
      <c r="AM95" s="996">
        <v>0</v>
      </c>
      <c r="AO95" s="999">
        <v>68842.265848224008</v>
      </c>
      <c r="AQ95" s="953"/>
      <c r="AS95" s="953">
        <v>-68842.265848224008</v>
      </c>
    </row>
    <row r="96" spans="1:49" x14ac:dyDescent="0.25">
      <c r="A96" s="885" t="s">
        <v>1076</v>
      </c>
      <c r="B96" s="949"/>
      <c r="C96" s="886" t="s">
        <v>1077</v>
      </c>
      <c r="D96" s="954"/>
      <c r="E96" s="954"/>
      <c r="F96" s="953">
        <v>13158</v>
      </c>
      <c r="G96" s="930" t="s">
        <v>1074</v>
      </c>
      <c r="H96" s="897">
        <v>3.6058989272000002</v>
      </c>
      <c r="I96" s="979">
        <v>47446.418084097604</v>
      </c>
      <c r="K96" s="953">
        <v>945.00000000000011</v>
      </c>
      <c r="L96" s="930">
        <v>0.2036</v>
      </c>
      <c r="M96" s="994">
        <v>7311.2760000000007</v>
      </c>
      <c r="O96" s="987">
        <v>0</v>
      </c>
      <c r="Q96" s="953">
        <v>0</v>
      </c>
      <c r="R96" s="930">
        <v>1.7611399999999999</v>
      </c>
      <c r="S96" s="994">
        <v>0</v>
      </c>
      <c r="U96" s="953">
        <v>236.84210526315789</v>
      </c>
      <c r="V96" s="930">
        <v>0.2036</v>
      </c>
      <c r="W96" s="994">
        <v>1832.4</v>
      </c>
      <c r="Y96" s="987">
        <v>0</v>
      </c>
      <c r="AA96" s="996">
        <v>0</v>
      </c>
      <c r="AC96" s="996">
        <v>0</v>
      </c>
      <c r="AE96" s="996">
        <v>0</v>
      </c>
      <c r="AG96" s="996">
        <v>0</v>
      </c>
      <c r="AH96" s="1014"/>
      <c r="AI96" s="987">
        <v>0</v>
      </c>
      <c r="AK96" s="996">
        <v>0</v>
      </c>
      <c r="AM96" s="996">
        <v>0</v>
      </c>
      <c r="AO96" s="999">
        <v>56590.094084097604</v>
      </c>
      <c r="AQ96" s="953"/>
      <c r="AS96" s="953">
        <v>-56590.094084097604</v>
      </c>
    </row>
    <row r="97" spans="1:45" x14ac:dyDescent="0.25">
      <c r="A97" s="925" t="s">
        <v>1079</v>
      </c>
      <c r="B97" s="926" t="s">
        <v>1080</v>
      </c>
      <c r="C97" s="926" t="s">
        <v>1081</v>
      </c>
      <c r="D97" s="954"/>
      <c r="E97" s="954"/>
      <c r="F97" s="953">
        <v>5580</v>
      </c>
      <c r="G97" s="930" t="s">
        <v>1074</v>
      </c>
      <c r="H97" s="897">
        <v>3.6058989272000002</v>
      </c>
      <c r="I97" s="979">
        <v>20120.916013776001</v>
      </c>
      <c r="K97" s="953">
        <v>134.21052631578948</v>
      </c>
      <c r="L97" s="930">
        <v>0.2036</v>
      </c>
      <c r="M97" s="994">
        <v>1038.3600000000001</v>
      </c>
      <c r="O97" s="987">
        <v>0</v>
      </c>
      <c r="Q97" s="953">
        <v>15</v>
      </c>
      <c r="R97" s="930">
        <v>1.7611399999999999</v>
      </c>
      <c r="S97" s="994">
        <v>1003.8498</v>
      </c>
      <c r="U97" s="953">
        <v>24.473684210526315</v>
      </c>
      <c r="V97" s="930">
        <v>0.2036</v>
      </c>
      <c r="W97" s="994">
        <v>189.34800000000001</v>
      </c>
      <c r="Y97" s="987">
        <v>0</v>
      </c>
      <c r="AA97" s="996">
        <v>0</v>
      </c>
      <c r="AC97" s="996">
        <v>0</v>
      </c>
      <c r="AE97" s="996">
        <v>0</v>
      </c>
      <c r="AG97" s="996">
        <v>0</v>
      </c>
      <c r="AH97" s="1014"/>
      <c r="AI97" s="987">
        <v>0</v>
      </c>
      <c r="AK97" s="996">
        <v>0</v>
      </c>
      <c r="AM97" s="996">
        <v>0</v>
      </c>
      <c r="AO97" s="999">
        <v>22352.473813776003</v>
      </c>
      <c r="AQ97" s="953"/>
      <c r="AS97" s="953">
        <v>-22352.473813776003</v>
      </c>
    </row>
    <row r="98" spans="1:45" x14ac:dyDescent="0.25">
      <c r="A98" s="955" t="s">
        <v>1082</v>
      </c>
      <c r="B98" s="956"/>
      <c r="C98" s="956" t="s">
        <v>1083</v>
      </c>
      <c r="D98" s="954"/>
      <c r="E98" s="954"/>
      <c r="F98" s="953">
        <v>6900</v>
      </c>
      <c r="G98" s="930" t="s">
        <v>1074</v>
      </c>
      <c r="H98" s="897">
        <v>3.6058989272000002</v>
      </c>
      <c r="I98" s="979">
        <v>24880.70259768</v>
      </c>
      <c r="K98" s="953">
        <v>18.94736842105263</v>
      </c>
      <c r="L98" s="930">
        <v>0.2036</v>
      </c>
      <c r="M98" s="994">
        <v>146.59199999999998</v>
      </c>
      <c r="O98" s="987">
        <v>0</v>
      </c>
      <c r="Q98" s="953">
        <v>0</v>
      </c>
      <c r="R98" s="930">
        <v>1.7611399999999999</v>
      </c>
      <c r="S98" s="994">
        <v>0</v>
      </c>
      <c r="U98" s="953">
        <v>0</v>
      </c>
      <c r="V98" s="930">
        <v>0.2036</v>
      </c>
      <c r="W98" s="994">
        <v>0</v>
      </c>
      <c r="Y98" s="987">
        <v>0</v>
      </c>
      <c r="AA98" s="996">
        <v>0</v>
      </c>
      <c r="AC98" s="996">
        <v>0</v>
      </c>
      <c r="AE98" s="996">
        <v>0</v>
      </c>
      <c r="AG98" s="996">
        <v>0</v>
      </c>
      <c r="AH98" s="1014"/>
      <c r="AI98" s="987">
        <v>0</v>
      </c>
      <c r="AK98" s="996">
        <v>0</v>
      </c>
      <c r="AM98" s="996">
        <v>0</v>
      </c>
      <c r="AO98" s="999">
        <v>25027.29459768</v>
      </c>
      <c r="AQ98" s="953"/>
      <c r="AS98" s="953">
        <v>-25027.29459768</v>
      </c>
    </row>
    <row r="99" spans="1:45" x14ac:dyDescent="0.25">
      <c r="A99" s="925" t="s">
        <v>1084</v>
      </c>
      <c r="B99" s="926" t="s">
        <v>1085</v>
      </c>
      <c r="C99" s="926">
        <v>206124</v>
      </c>
      <c r="D99" s="954"/>
      <c r="E99" s="954"/>
      <c r="F99" s="953">
        <v>7350</v>
      </c>
      <c r="G99" s="930" t="s">
        <v>1086</v>
      </c>
      <c r="H99" s="897">
        <v>3.6058989272000002</v>
      </c>
      <c r="I99" s="979">
        <v>26503.35711492</v>
      </c>
      <c r="K99" s="953">
        <v>401.68421052631584</v>
      </c>
      <c r="L99" s="930">
        <v>0.2036</v>
      </c>
      <c r="M99" s="994">
        <v>3107.7504000000004</v>
      </c>
      <c r="O99" s="987">
        <v>0</v>
      </c>
      <c r="Q99" s="953">
        <v>4.7368421052631575</v>
      </c>
      <c r="R99" s="930">
        <v>1.7611399999999999</v>
      </c>
      <c r="S99" s="994">
        <v>317.00519999999995</v>
      </c>
      <c r="U99" s="953">
        <v>0</v>
      </c>
      <c r="V99" s="930">
        <v>0.2036</v>
      </c>
      <c r="W99" s="994">
        <v>0</v>
      </c>
      <c r="Y99" s="987">
        <v>0</v>
      </c>
      <c r="AA99" s="996">
        <v>0</v>
      </c>
      <c r="AC99" s="996">
        <v>0</v>
      </c>
      <c r="AE99" s="996">
        <v>0</v>
      </c>
      <c r="AG99" s="996">
        <v>0</v>
      </c>
      <c r="AH99" s="1014"/>
      <c r="AI99" s="987">
        <v>0</v>
      </c>
      <c r="AK99" s="996">
        <v>0</v>
      </c>
      <c r="AM99" s="996">
        <v>0</v>
      </c>
      <c r="AO99" s="999">
        <v>29928.11271492</v>
      </c>
      <c r="AQ99" s="953"/>
      <c r="AS99" s="953">
        <v>-29928.11271492</v>
      </c>
    </row>
    <row r="100" spans="1:45" x14ac:dyDescent="0.25">
      <c r="A100" s="925" t="s">
        <v>1087</v>
      </c>
      <c r="B100" s="926" t="s">
        <v>1088</v>
      </c>
      <c r="C100" s="926" t="s">
        <v>1089</v>
      </c>
      <c r="D100" s="954"/>
      <c r="E100" s="954"/>
      <c r="F100" s="953">
        <v>8034</v>
      </c>
      <c r="G100" s="930" t="s">
        <v>1086</v>
      </c>
      <c r="H100" s="897">
        <v>3.6058989272000002</v>
      </c>
      <c r="I100" s="979">
        <v>28969.791981124803</v>
      </c>
      <c r="K100" s="953">
        <v>48.315789473684212</v>
      </c>
      <c r="L100" s="930">
        <v>0.2036</v>
      </c>
      <c r="M100" s="994">
        <v>373.80960000000005</v>
      </c>
      <c r="O100" s="987">
        <v>0</v>
      </c>
      <c r="Q100" s="953">
        <v>5.5263157894736841</v>
      </c>
      <c r="R100" s="930">
        <v>1.7611399999999999</v>
      </c>
      <c r="S100" s="994">
        <v>369.83939999999996</v>
      </c>
      <c r="U100" s="953">
        <v>25.578947368421051</v>
      </c>
      <c r="V100" s="930">
        <v>0.2036</v>
      </c>
      <c r="W100" s="994">
        <v>197.89919999999998</v>
      </c>
      <c r="Y100" s="987">
        <v>0</v>
      </c>
      <c r="AA100" s="996">
        <v>0</v>
      </c>
      <c r="AC100" s="996">
        <v>0</v>
      </c>
      <c r="AE100" s="996">
        <v>0</v>
      </c>
      <c r="AG100" s="996">
        <v>0</v>
      </c>
      <c r="AH100" s="1014"/>
      <c r="AI100" s="987">
        <v>0</v>
      </c>
      <c r="AK100" s="996">
        <v>0</v>
      </c>
      <c r="AM100" s="996">
        <v>0</v>
      </c>
      <c r="AO100" s="999">
        <v>29911.340181124804</v>
      </c>
      <c r="AQ100" s="953"/>
      <c r="AS100" s="953">
        <v>-29911.340181124804</v>
      </c>
    </row>
    <row r="101" spans="1:45" x14ac:dyDescent="0.25">
      <c r="A101" s="926" t="s">
        <v>1090</v>
      </c>
      <c r="B101" s="926" t="s">
        <v>1091</v>
      </c>
      <c r="C101" s="926">
        <v>206126</v>
      </c>
      <c r="D101" s="954"/>
      <c r="E101" s="954"/>
      <c r="F101" s="953">
        <v>17070</v>
      </c>
      <c r="G101" s="930" t="s">
        <v>1086</v>
      </c>
      <c r="H101" s="897">
        <v>3.6058989272000002</v>
      </c>
      <c r="I101" s="979">
        <v>61552.694687304</v>
      </c>
      <c r="K101" s="953">
        <v>57</v>
      </c>
      <c r="L101" s="930">
        <v>0.2036</v>
      </c>
      <c r="M101" s="994">
        <v>440.99759999999998</v>
      </c>
      <c r="O101" s="987">
        <v>0</v>
      </c>
      <c r="Q101" s="953">
        <v>9.473684210526315</v>
      </c>
      <c r="R101" s="930">
        <v>1.7611399999999999</v>
      </c>
      <c r="S101" s="994">
        <v>634.01039999999989</v>
      </c>
      <c r="U101" s="953">
        <v>0</v>
      </c>
      <c r="V101" s="930">
        <v>0.2036</v>
      </c>
      <c r="W101" s="994">
        <v>0</v>
      </c>
      <c r="Y101" s="987">
        <v>0</v>
      </c>
      <c r="AA101" s="996">
        <v>0</v>
      </c>
      <c r="AC101" s="996">
        <v>0</v>
      </c>
      <c r="AE101" s="996">
        <v>0</v>
      </c>
      <c r="AG101" s="996">
        <v>0</v>
      </c>
      <c r="AH101" s="1014"/>
      <c r="AI101" s="987">
        <v>0</v>
      </c>
      <c r="AK101" s="996">
        <v>0</v>
      </c>
      <c r="AM101" s="996">
        <v>0</v>
      </c>
      <c r="AO101" s="999">
        <v>62627.702687304001</v>
      </c>
      <c r="AQ101" s="953"/>
      <c r="AS101" s="953">
        <v>-62627.702687304001</v>
      </c>
    </row>
    <row r="102" spans="1:45" x14ac:dyDescent="0.25">
      <c r="A102" s="926" t="s">
        <v>1092</v>
      </c>
      <c r="B102" s="926" t="s">
        <v>1093</v>
      </c>
      <c r="C102" s="926">
        <v>206111</v>
      </c>
      <c r="D102" s="954"/>
      <c r="E102" s="954"/>
      <c r="F102" s="953">
        <v>24768</v>
      </c>
      <c r="G102" s="930" t="s">
        <v>1074</v>
      </c>
      <c r="H102" s="897">
        <v>3.6058989272000002</v>
      </c>
      <c r="I102" s="979">
        <v>89310.904628889606</v>
      </c>
      <c r="K102" s="953">
        <v>114.63157894736842</v>
      </c>
      <c r="L102" s="930">
        <v>0.2036</v>
      </c>
      <c r="M102" s="994">
        <v>886.88160000000005</v>
      </c>
      <c r="O102" s="987">
        <v>0</v>
      </c>
      <c r="Q102" s="953">
        <v>0</v>
      </c>
      <c r="R102" s="930">
        <v>1.7611399999999999</v>
      </c>
      <c r="S102" s="994">
        <v>0</v>
      </c>
      <c r="U102" s="953">
        <v>33.94736842105263</v>
      </c>
      <c r="V102" s="930">
        <v>0.2036</v>
      </c>
      <c r="W102" s="994">
        <v>262.64400000000001</v>
      </c>
      <c r="Y102" s="987">
        <v>0</v>
      </c>
      <c r="AA102" s="996">
        <v>0</v>
      </c>
      <c r="AC102" s="996">
        <v>0</v>
      </c>
      <c r="AE102" s="996">
        <v>0</v>
      </c>
      <c r="AG102" s="996">
        <v>0</v>
      </c>
      <c r="AH102" s="1014"/>
      <c r="AI102" s="987">
        <v>0</v>
      </c>
      <c r="AK102" s="996">
        <v>0</v>
      </c>
      <c r="AM102" s="996">
        <v>0</v>
      </c>
      <c r="AO102" s="999">
        <v>90460.4302288896</v>
      </c>
      <c r="AQ102" s="953"/>
      <c r="AS102" s="953">
        <v>-90460.4302288896</v>
      </c>
    </row>
    <row r="103" spans="1:45" x14ac:dyDescent="0.25">
      <c r="A103" s="925" t="s">
        <v>1094</v>
      </c>
      <c r="B103" s="926" t="s">
        <v>1095</v>
      </c>
      <c r="C103" s="926">
        <v>206091</v>
      </c>
      <c r="D103" s="954"/>
      <c r="E103" s="954"/>
      <c r="F103" s="953">
        <v>11016</v>
      </c>
      <c r="G103" s="930" t="s">
        <v>1074</v>
      </c>
      <c r="H103" s="897">
        <v>3.6058989272000002</v>
      </c>
      <c r="I103" s="979">
        <v>39722.582582035204</v>
      </c>
      <c r="K103" s="953">
        <v>119.21052631578947</v>
      </c>
      <c r="L103" s="930">
        <v>0.2036</v>
      </c>
      <c r="M103" s="994">
        <v>922.30799999999999</v>
      </c>
      <c r="O103" s="987">
        <v>0</v>
      </c>
      <c r="Q103" s="953">
        <v>5.5263157894736841</v>
      </c>
      <c r="R103" s="930">
        <v>1.7611399999999999</v>
      </c>
      <c r="S103" s="994">
        <v>369.83939999999996</v>
      </c>
      <c r="U103" s="953">
        <v>18.94736842105263</v>
      </c>
      <c r="V103" s="930">
        <v>0.2036</v>
      </c>
      <c r="W103" s="994">
        <v>146.59199999999998</v>
      </c>
      <c r="Y103" s="987">
        <v>0</v>
      </c>
      <c r="AA103" s="996">
        <v>0</v>
      </c>
      <c r="AC103" s="996">
        <v>0</v>
      </c>
      <c r="AE103" s="996">
        <v>0</v>
      </c>
      <c r="AG103" s="996">
        <v>0</v>
      </c>
      <c r="AH103" s="1014"/>
      <c r="AI103" s="987">
        <v>0</v>
      </c>
      <c r="AK103" s="996">
        <v>0</v>
      </c>
      <c r="AM103" s="996">
        <v>0</v>
      </c>
      <c r="AO103" s="999">
        <v>41161.321982035195</v>
      </c>
      <c r="AQ103" s="953"/>
      <c r="AS103" s="953">
        <v>-41161.321982035195</v>
      </c>
    </row>
    <row r="104" spans="1:45" x14ac:dyDescent="0.25">
      <c r="A104" s="888" t="s">
        <v>1097</v>
      </c>
      <c r="B104" s="957"/>
      <c r="C104" s="889" t="s">
        <v>1098</v>
      </c>
      <c r="D104" s="954"/>
      <c r="E104" s="954"/>
      <c r="F104" s="953">
        <v>7614</v>
      </c>
      <c r="G104" s="930" t="s">
        <v>1074</v>
      </c>
      <c r="H104" s="897">
        <v>3.6058989272000002</v>
      </c>
      <c r="I104" s="979">
        <v>27455.314431700801</v>
      </c>
      <c r="K104" s="953">
        <v>723.15789473684208</v>
      </c>
      <c r="L104" s="930">
        <v>0.2036</v>
      </c>
      <c r="M104" s="994">
        <v>5594.9279999999999</v>
      </c>
      <c r="O104" s="987">
        <v>0</v>
      </c>
      <c r="Q104" s="953">
        <v>16.105263157894736</v>
      </c>
      <c r="R104" s="930">
        <v>1.7611399999999999</v>
      </c>
      <c r="S104" s="994">
        <v>1077.8176799999999</v>
      </c>
      <c r="U104" s="953">
        <v>235.57894736842104</v>
      </c>
      <c r="V104" s="930">
        <v>0.2036</v>
      </c>
      <c r="W104" s="994">
        <v>1822.6271999999999</v>
      </c>
      <c r="Y104" s="987">
        <v>0</v>
      </c>
      <c r="AA104" s="996">
        <v>0</v>
      </c>
      <c r="AC104" s="996">
        <v>0</v>
      </c>
      <c r="AE104" s="996">
        <v>0</v>
      </c>
      <c r="AG104" s="996">
        <v>0</v>
      </c>
      <c r="AH104" s="1014"/>
      <c r="AI104" s="987">
        <v>0</v>
      </c>
      <c r="AK104" s="996">
        <v>0</v>
      </c>
      <c r="AM104" s="996">
        <v>0</v>
      </c>
      <c r="AO104" s="999">
        <v>35950.6873117008</v>
      </c>
      <c r="AQ104" s="953"/>
      <c r="AS104" s="953">
        <v>-35950.6873117008</v>
      </c>
    </row>
    <row r="105" spans="1:45" x14ac:dyDescent="0.25">
      <c r="A105" s="925" t="s">
        <v>1099</v>
      </c>
      <c r="B105" s="926" t="s">
        <v>1100</v>
      </c>
      <c r="C105" s="926">
        <v>206128</v>
      </c>
      <c r="D105" s="954"/>
      <c r="E105" s="954"/>
      <c r="F105" s="953">
        <v>8940</v>
      </c>
      <c r="G105" s="930" t="s">
        <v>1086</v>
      </c>
      <c r="H105" s="897">
        <v>3.6058989272000002</v>
      </c>
      <c r="I105" s="979">
        <v>32236.736409168003</v>
      </c>
      <c r="K105" s="953">
        <v>345.78947368421052</v>
      </c>
      <c r="L105" s="930">
        <v>0.2036</v>
      </c>
      <c r="M105" s="994">
        <v>2675.3040000000001</v>
      </c>
      <c r="O105" s="987">
        <v>0</v>
      </c>
      <c r="Q105" s="953">
        <v>9.473684210526315</v>
      </c>
      <c r="R105" s="930">
        <v>1.7611399999999999</v>
      </c>
      <c r="S105" s="994">
        <v>634.01039999999989</v>
      </c>
      <c r="U105" s="953">
        <v>45</v>
      </c>
      <c r="V105" s="930">
        <v>0.2036</v>
      </c>
      <c r="W105" s="994">
        <v>348.15600000000001</v>
      </c>
      <c r="Y105" s="987">
        <v>0</v>
      </c>
      <c r="AA105" s="996">
        <v>0</v>
      </c>
      <c r="AC105" s="996">
        <v>0</v>
      </c>
      <c r="AE105" s="996">
        <v>0</v>
      </c>
      <c r="AG105" s="996">
        <v>0</v>
      </c>
      <c r="AH105" s="1014"/>
      <c r="AI105" s="987">
        <v>0</v>
      </c>
      <c r="AK105" s="996">
        <v>0</v>
      </c>
      <c r="AM105" s="996">
        <v>0</v>
      </c>
      <c r="AO105" s="999">
        <v>35894.206809168005</v>
      </c>
      <c r="AQ105" s="953"/>
      <c r="AS105" s="953">
        <v>-35894.206809168005</v>
      </c>
    </row>
    <row r="106" spans="1:45" x14ac:dyDescent="0.25">
      <c r="A106" s="958" t="s">
        <v>1101</v>
      </c>
      <c r="B106" s="959"/>
      <c r="C106" s="959" t="s">
        <v>1102</v>
      </c>
      <c r="D106" s="954"/>
      <c r="E106" s="954"/>
      <c r="F106" s="953">
        <v>0</v>
      </c>
      <c r="G106" s="930" t="s">
        <v>1086</v>
      </c>
      <c r="H106" s="897">
        <v>3.6058989272000002</v>
      </c>
      <c r="I106" s="979">
        <v>0</v>
      </c>
      <c r="K106" s="953">
        <v>0</v>
      </c>
      <c r="L106" s="930">
        <v>0.2036</v>
      </c>
      <c r="M106" s="994">
        <v>0</v>
      </c>
      <c r="O106" s="987">
        <v>0</v>
      </c>
      <c r="Q106" s="953">
        <v>0</v>
      </c>
      <c r="R106" s="930">
        <v>1.7611399999999999</v>
      </c>
      <c r="S106" s="994">
        <v>0</v>
      </c>
      <c r="U106" s="953">
        <v>0</v>
      </c>
      <c r="V106" s="930">
        <v>0.2036</v>
      </c>
      <c r="W106" s="994">
        <v>0</v>
      </c>
      <c r="Y106" s="987">
        <v>0</v>
      </c>
      <c r="AA106" s="996">
        <v>0</v>
      </c>
      <c r="AC106" s="996">
        <v>0</v>
      </c>
      <c r="AE106" s="996">
        <v>0</v>
      </c>
      <c r="AG106" s="996">
        <v>0</v>
      </c>
      <c r="AH106" s="1014"/>
      <c r="AI106" s="987">
        <v>0</v>
      </c>
      <c r="AK106" s="996">
        <v>0</v>
      </c>
      <c r="AM106" s="996">
        <v>0</v>
      </c>
      <c r="AO106" s="999">
        <v>0</v>
      </c>
      <c r="AQ106" s="953"/>
      <c r="AS106" s="953">
        <v>0</v>
      </c>
    </row>
    <row r="107" spans="1:45" x14ac:dyDescent="0.25">
      <c r="A107" s="960" t="s">
        <v>1103</v>
      </c>
      <c r="B107" s="961"/>
      <c r="C107" s="961">
        <v>205999</v>
      </c>
      <c r="D107" s="954"/>
      <c r="E107" s="954"/>
      <c r="F107" s="953">
        <v>288</v>
      </c>
      <c r="G107" s="930" t="s">
        <v>1086</v>
      </c>
      <c r="H107" s="897">
        <v>3.6058989272000002</v>
      </c>
      <c r="I107" s="979">
        <v>1038.4988910336001</v>
      </c>
      <c r="K107" s="953">
        <v>0</v>
      </c>
      <c r="L107" s="930">
        <v>0.2036</v>
      </c>
      <c r="M107" s="994">
        <v>0</v>
      </c>
      <c r="O107" s="987">
        <v>0</v>
      </c>
      <c r="Q107" s="953">
        <v>0</v>
      </c>
      <c r="R107" s="930">
        <v>1.7611399999999999</v>
      </c>
      <c r="S107" s="994">
        <v>0</v>
      </c>
      <c r="U107" s="953">
        <v>0</v>
      </c>
      <c r="V107" s="930">
        <v>0.2036</v>
      </c>
      <c r="W107" s="994">
        <v>0</v>
      </c>
      <c r="Y107" s="987">
        <v>0</v>
      </c>
      <c r="AA107" s="996">
        <v>0</v>
      </c>
      <c r="AC107" s="996">
        <v>0</v>
      </c>
      <c r="AE107" s="996">
        <v>0</v>
      </c>
      <c r="AG107" s="996">
        <v>0</v>
      </c>
      <c r="AH107" s="1014"/>
      <c r="AI107" s="987">
        <v>0</v>
      </c>
      <c r="AK107" s="996">
        <v>0</v>
      </c>
      <c r="AM107" s="996">
        <v>0</v>
      </c>
      <c r="AO107" s="999">
        <v>1038.4988910336001</v>
      </c>
      <c r="AQ107" s="953"/>
      <c r="AS107" s="953">
        <v>-1038.4988910336001</v>
      </c>
    </row>
    <row r="108" spans="1:45" x14ac:dyDescent="0.25">
      <c r="A108" s="960" t="s">
        <v>1104</v>
      </c>
      <c r="B108" s="961"/>
      <c r="C108" s="961">
        <v>205921</v>
      </c>
      <c r="D108" s="954"/>
      <c r="E108" s="954"/>
      <c r="F108" s="953">
        <v>72</v>
      </c>
      <c r="G108" s="930" t="s">
        <v>1086</v>
      </c>
      <c r="H108" s="897">
        <v>3.6058989272000002</v>
      </c>
      <c r="I108" s="979">
        <v>259.62472275840003</v>
      </c>
      <c r="K108" s="953">
        <v>0</v>
      </c>
      <c r="L108" s="930">
        <v>0.2036</v>
      </c>
      <c r="M108" s="994">
        <v>0</v>
      </c>
      <c r="O108" s="987">
        <v>0</v>
      </c>
      <c r="Q108" s="953">
        <v>0</v>
      </c>
      <c r="R108" s="930">
        <v>1.7611399999999999</v>
      </c>
      <c r="S108" s="994">
        <v>0</v>
      </c>
      <c r="U108" s="953">
        <v>0</v>
      </c>
      <c r="V108" s="930">
        <v>0.2036</v>
      </c>
      <c r="W108" s="994">
        <v>0</v>
      </c>
      <c r="Y108" s="987">
        <v>0</v>
      </c>
      <c r="AA108" s="996">
        <v>0</v>
      </c>
      <c r="AC108" s="996">
        <v>0</v>
      </c>
      <c r="AE108" s="996">
        <v>0</v>
      </c>
      <c r="AG108" s="996">
        <v>0</v>
      </c>
      <c r="AH108" s="1014"/>
      <c r="AI108" s="987">
        <v>0</v>
      </c>
      <c r="AK108" s="996">
        <v>0</v>
      </c>
      <c r="AM108" s="996">
        <v>0</v>
      </c>
      <c r="AO108" s="999">
        <v>259.62472275840003</v>
      </c>
      <c r="AQ108" s="953"/>
      <c r="AS108" s="953">
        <v>-259.62472275840003</v>
      </c>
    </row>
    <row r="109" spans="1:45" x14ac:dyDescent="0.25">
      <c r="A109" s="962" t="s">
        <v>1121</v>
      </c>
      <c r="B109" s="959"/>
      <c r="C109" s="959" t="s">
        <v>1122</v>
      </c>
      <c r="D109" s="954"/>
      <c r="E109" s="954"/>
      <c r="F109" s="953">
        <v>0</v>
      </c>
      <c r="G109" s="930" t="s">
        <v>1086</v>
      </c>
      <c r="H109" s="897">
        <v>3.6058989272000002</v>
      </c>
      <c r="I109" s="979">
        <v>0</v>
      </c>
      <c r="K109" s="953">
        <v>0</v>
      </c>
      <c r="L109" s="930">
        <v>0.2036</v>
      </c>
      <c r="M109" s="994">
        <v>0</v>
      </c>
      <c r="O109" s="987">
        <v>0</v>
      </c>
      <c r="Q109" s="953">
        <v>0</v>
      </c>
      <c r="R109" s="930">
        <v>1.7611399999999999</v>
      </c>
      <c r="S109" s="994">
        <v>0</v>
      </c>
      <c r="U109" s="953">
        <v>0</v>
      </c>
      <c r="V109" s="930">
        <v>0.2036</v>
      </c>
      <c r="W109" s="994">
        <v>0</v>
      </c>
      <c r="Y109" s="987">
        <v>0</v>
      </c>
      <c r="AA109" s="996">
        <v>0</v>
      </c>
      <c r="AC109" s="996">
        <v>0</v>
      </c>
      <c r="AE109" s="996">
        <v>0</v>
      </c>
      <c r="AG109" s="996">
        <v>0</v>
      </c>
      <c r="AH109" s="1014"/>
      <c r="AI109" s="987">
        <v>0</v>
      </c>
      <c r="AK109" s="996">
        <v>0</v>
      </c>
      <c r="AM109" s="996">
        <v>0</v>
      </c>
      <c r="AO109" s="999">
        <v>0</v>
      </c>
      <c r="AQ109" s="953"/>
      <c r="AS109" s="953">
        <v>0</v>
      </c>
    </row>
    <row r="110" spans="1:45" x14ac:dyDescent="0.25">
      <c r="A110" s="962" t="s">
        <v>1105</v>
      </c>
      <c r="B110" s="961"/>
      <c r="C110" s="961">
        <v>205922</v>
      </c>
      <c r="D110" s="954"/>
      <c r="E110" s="954"/>
      <c r="F110" s="953">
        <v>216</v>
      </c>
      <c r="G110" s="930" t="s">
        <v>1086</v>
      </c>
      <c r="H110" s="897">
        <v>3.6058989272000002</v>
      </c>
      <c r="I110" s="979">
        <v>778.87416827520008</v>
      </c>
      <c r="K110" s="953">
        <v>0</v>
      </c>
      <c r="L110" s="930">
        <v>0.2036</v>
      </c>
      <c r="M110" s="994">
        <v>0</v>
      </c>
      <c r="O110" s="987">
        <v>0</v>
      </c>
      <c r="Q110" s="953">
        <v>0</v>
      </c>
      <c r="R110" s="930">
        <v>1.7611399999999999</v>
      </c>
      <c r="S110" s="994">
        <v>0</v>
      </c>
      <c r="U110" s="953">
        <v>0</v>
      </c>
      <c r="V110" s="930">
        <v>0.2036</v>
      </c>
      <c r="W110" s="994">
        <v>0</v>
      </c>
      <c r="Y110" s="987">
        <v>0</v>
      </c>
      <c r="AA110" s="996">
        <v>0</v>
      </c>
      <c r="AC110" s="996">
        <v>0</v>
      </c>
      <c r="AE110" s="996">
        <v>0</v>
      </c>
      <c r="AG110" s="996">
        <v>0</v>
      </c>
      <c r="AH110" s="1014"/>
      <c r="AI110" s="987">
        <v>0</v>
      </c>
      <c r="AK110" s="996">
        <v>0</v>
      </c>
      <c r="AM110" s="996">
        <v>0</v>
      </c>
      <c r="AO110" s="999">
        <v>778.87416827520008</v>
      </c>
      <c r="AQ110" s="953"/>
      <c r="AS110" s="953">
        <v>-778.87416827520008</v>
      </c>
    </row>
    <row r="111" spans="1:45" x14ac:dyDescent="0.25">
      <c r="A111" s="958" t="s">
        <v>1106</v>
      </c>
      <c r="B111" s="959"/>
      <c r="C111" s="959" t="s">
        <v>1107</v>
      </c>
      <c r="D111" s="954"/>
      <c r="E111" s="954"/>
      <c r="F111" s="953">
        <v>0</v>
      </c>
      <c r="G111" s="930" t="s">
        <v>1086</v>
      </c>
      <c r="H111" s="897">
        <v>3.6058989272000002</v>
      </c>
      <c r="I111" s="979">
        <v>0</v>
      </c>
      <c r="K111" s="953">
        <v>0</v>
      </c>
      <c r="L111" s="930">
        <v>0.2036</v>
      </c>
      <c r="M111" s="994">
        <v>0</v>
      </c>
      <c r="O111" s="987">
        <v>0</v>
      </c>
      <c r="Q111" s="953">
        <v>0</v>
      </c>
      <c r="R111" s="930">
        <v>1.7611399999999999</v>
      </c>
      <c r="S111" s="994">
        <v>0</v>
      </c>
      <c r="U111" s="953">
        <v>0</v>
      </c>
      <c r="V111" s="930">
        <v>0.2036</v>
      </c>
      <c r="W111" s="994">
        <v>0</v>
      </c>
      <c r="Y111" s="987">
        <v>0</v>
      </c>
      <c r="AA111" s="996">
        <v>0</v>
      </c>
      <c r="AC111" s="996">
        <v>0</v>
      </c>
      <c r="AE111" s="996">
        <v>0</v>
      </c>
      <c r="AG111" s="996">
        <v>0</v>
      </c>
      <c r="AH111" s="1014"/>
      <c r="AI111" s="987">
        <v>0</v>
      </c>
      <c r="AK111" s="996">
        <v>0</v>
      </c>
      <c r="AM111" s="996">
        <v>0</v>
      </c>
      <c r="AO111" s="999">
        <v>0</v>
      </c>
      <c r="AQ111" s="953"/>
      <c r="AS111" s="953">
        <v>0</v>
      </c>
    </row>
    <row r="112" spans="1:45" x14ac:dyDescent="0.25">
      <c r="A112" s="963" t="s">
        <v>1108</v>
      </c>
      <c r="B112" s="959"/>
      <c r="C112" s="959">
        <v>205849</v>
      </c>
      <c r="D112" s="954"/>
      <c r="E112" s="954"/>
      <c r="F112" s="953">
        <v>0</v>
      </c>
      <c r="G112" s="930" t="s">
        <v>1086</v>
      </c>
      <c r="H112" s="897">
        <v>3.6058989272000002</v>
      </c>
      <c r="I112" s="979">
        <v>0</v>
      </c>
      <c r="K112" s="953">
        <v>0</v>
      </c>
      <c r="L112" s="930">
        <v>0.2036</v>
      </c>
      <c r="M112" s="994">
        <v>0</v>
      </c>
      <c r="O112" s="987">
        <v>0</v>
      </c>
      <c r="Q112" s="953">
        <v>0</v>
      </c>
      <c r="R112" s="930">
        <v>1.7611399999999999</v>
      </c>
      <c r="S112" s="994">
        <v>0</v>
      </c>
      <c r="U112" s="953">
        <v>0</v>
      </c>
      <c r="V112" s="930">
        <v>0.2036</v>
      </c>
      <c r="W112" s="994">
        <v>0</v>
      </c>
      <c r="Y112" s="987">
        <v>0</v>
      </c>
      <c r="AA112" s="996">
        <v>0</v>
      </c>
      <c r="AC112" s="996">
        <v>0</v>
      </c>
      <c r="AE112" s="996">
        <v>0</v>
      </c>
      <c r="AG112" s="996">
        <v>0</v>
      </c>
      <c r="AH112" s="1014"/>
      <c r="AI112" s="987">
        <v>0</v>
      </c>
      <c r="AK112" s="996">
        <v>0</v>
      </c>
      <c r="AM112" s="996">
        <v>0</v>
      </c>
      <c r="AO112" s="999">
        <v>0</v>
      </c>
      <c r="AQ112" s="953"/>
      <c r="AS112" s="953">
        <v>0</v>
      </c>
    </row>
    <row r="113" spans="1:45" x14ac:dyDescent="0.25">
      <c r="A113" s="960" t="s">
        <v>1109</v>
      </c>
      <c r="B113" s="961"/>
      <c r="C113" s="961" t="s">
        <v>1110</v>
      </c>
      <c r="D113" s="954"/>
      <c r="E113" s="954"/>
      <c r="F113" s="953">
        <v>180</v>
      </c>
      <c r="G113" s="930" t="s">
        <v>1086</v>
      </c>
      <c r="H113" s="897">
        <v>3.6058989272000002</v>
      </c>
      <c r="I113" s="979">
        <v>649.06180689600001</v>
      </c>
      <c r="K113" s="953">
        <v>0</v>
      </c>
      <c r="L113" s="930">
        <v>0.2036</v>
      </c>
      <c r="M113" s="994">
        <v>0</v>
      </c>
      <c r="O113" s="987">
        <v>0</v>
      </c>
      <c r="Q113" s="953">
        <v>0</v>
      </c>
      <c r="R113" s="930">
        <v>1.7611399999999999</v>
      </c>
      <c r="S113" s="994">
        <v>0</v>
      </c>
      <c r="U113" s="953">
        <v>0</v>
      </c>
      <c r="V113" s="930">
        <v>0.2036</v>
      </c>
      <c r="W113" s="994">
        <v>0</v>
      </c>
      <c r="Y113" s="987">
        <v>0</v>
      </c>
      <c r="AA113" s="996">
        <v>0</v>
      </c>
      <c r="AC113" s="996">
        <v>0</v>
      </c>
      <c r="AE113" s="996">
        <v>0</v>
      </c>
      <c r="AG113" s="996">
        <v>0</v>
      </c>
      <c r="AH113" s="1014"/>
      <c r="AI113" s="987">
        <v>0</v>
      </c>
      <c r="AK113" s="996">
        <v>0</v>
      </c>
      <c r="AM113" s="996">
        <v>0</v>
      </c>
      <c r="AO113" s="999">
        <v>649.06180689600001</v>
      </c>
      <c r="AQ113" s="953"/>
      <c r="AS113" s="953">
        <v>-649.06180689600001</v>
      </c>
    </row>
    <row r="114" spans="1:45" x14ac:dyDescent="0.25">
      <c r="A114" s="963" t="s">
        <v>1111</v>
      </c>
      <c r="B114" s="961"/>
      <c r="C114" s="961">
        <v>2</v>
      </c>
      <c r="D114" s="954"/>
      <c r="E114" s="954"/>
      <c r="F114" s="953">
        <v>0</v>
      </c>
      <c r="G114" s="930" t="s">
        <v>1086</v>
      </c>
      <c r="H114" s="897">
        <v>3.6058989272000002</v>
      </c>
      <c r="I114" s="979">
        <v>0</v>
      </c>
      <c r="K114" s="953">
        <v>0</v>
      </c>
      <c r="L114" s="930">
        <v>0.2036</v>
      </c>
      <c r="M114" s="994">
        <v>0</v>
      </c>
      <c r="O114" s="987">
        <v>0</v>
      </c>
      <c r="Q114" s="953">
        <v>0</v>
      </c>
      <c r="R114" s="930">
        <v>1.7611399999999999</v>
      </c>
      <c r="S114" s="994">
        <v>0</v>
      </c>
      <c r="U114" s="953">
        <v>0</v>
      </c>
      <c r="V114" s="930">
        <v>0.2036</v>
      </c>
      <c r="W114" s="994">
        <v>0</v>
      </c>
      <c r="Y114" s="987">
        <v>0</v>
      </c>
      <c r="AA114" s="996">
        <v>0</v>
      </c>
      <c r="AC114" s="996">
        <v>0</v>
      </c>
      <c r="AE114" s="996">
        <v>0</v>
      </c>
      <c r="AG114" s="996">
        <v>0</v>
      </c>
      <c r="AH114" s="1014"/>
      <c r="AI114" s="987">
        <v>0</v>
      </c>
      <c r="AK114" s="996">
        <v>0</v>
      </c>
      <c r="AM114" s="996">
        <v>0</v>
      </c>
      <c r="AO114" s="999">
        <v>0</v>
      </c>
      <c r="AQ114" s="953"/>
      <c r="AS114" s="953">
        <v>0</v>
      </c>
    </row>
    <row r="115" spans="1:45" x14ac:dyDescent="0.25">
      <c r="A115" s="958" t="s">
        <v>1112</v>
      </c>
      <c r="B115" s="959"/>
      <c r="C115" s="959">
        <v>205956</v>
      </c>
      <c r="D115" s="954"/>
      <c r="E115" s="954"/>
      <c r="F115" s="953">
        <v>540</v>
      </c>
      <c r="G115" s="930" t="s">
        <v>1086</v>
      </c>
      <c r="H115" s="897">
        <v>3.6058989272000002</v>
      </c>
      <c r="I115" s="979">
        <v>1947.185420688</v>
      </c>
      <c r="K115" s="953">
        <v>14.210526315789473</v>
      </c>
      <c r="L115" s="930">
        <v>0.2036</v>
      </c>
      <c r="M115" s="994">
        <v>109.94399999999999</v>
      </c>
      <c r="O115" s="987">
        <v>0</v>
      </c>
      <c r="Q115" s="953">
        <v>0</v>
      </c>
      <c r="R115" s="930">
        <v>1.7611399999999999</v>
      </c>
      <c r="S115" s="994">
        <v>0</v>
      </c>
      <c r="U115" s="953">
        <v>0</v>
      </c>
      <c r="V115" s="930">
        <v>0.2036</v>
      </c>
      <c r="W115" s="994">
        <v>0</v>
      </c>
      <c r="Y115" s="987">
        <v>0</v>
      </c>
      <c r="AA115" s="996">
        <v>0</v>
      </c>
      <c r="AC115" s="996">
        <v>0</v>
      </c>
      <c r="AE115" s="996">
        <v>0</v>
      </c>
      <c r="AG115" s="996">
        <v>0</v>
      </c>
      <c r="AH115" s="1014"/>
      <c r="AI115" s="987">
        <v>0</v>
      </c>
      <c r="AK115" s="996">
        <v>0</v>
      </c>
      <c r="AM115" s="996">
        <v>0</v>
      </c>
      <c r="AO115" s="999">
        <v>2057.1294206880002</v>
      </c>
      <c r="AQ115" s="953"/>
      <c r="AS115" s="953">
        <v>-2057.1294206880002</v>
      </c>
    </row>
    <row r="116" spans="1:45" x14ac:dyDescent="0.25">
      <c r="A116" s="960" t="s">
        <v>1117</v>
      </c>
      <c r="B116" s="959"/>
      <c r="C116" s="959" t="s">
        <v>1118</v>
      </c>
      <c r="D116" s="954"/>
      <c r="E116" s="954"/>
      <c r="F116" s="953">
        <v>180</v>
      </c>
      <c r="G116" s="930" t="s">
        <v>1086</v>
      </c>
      <c r="H116" s="897">
        <v>3.6058989272000002</v>
      </c>
      <c r="I116" s="979">
        <v>649.06180689600001</v>
      </c>
      <c r="K116" s="953">
        <v>0</v>
      </c>
      <c r="L116" s="930">
        <v>0.2036</v>
      </c>
      <c r="M116" s="994">
        <v>0</v>
      </c>
      <c r="O116" s="987">
        <v>0</v>
      </c>
      <c r="Q116" s="953">
        <v>0</v>
      </c>
      <c r="R116" s="930">
        <v>1.7611399999999999</v>
      </c>
      <c r="S116" s="994">
        <v>0</v>
      </c>
      <c r="U116" s="953">
        <v>0</v>
      </c>
      <c r="V116" s="930">
        <v>0.2036</v>
      </c>
      <c r="W116" s="994">
        <v>0</v>
      </c>
      <c r="Y116" s="987">
        <v>0</v>
      </c>
      <c r="AA116" s="996">
        <v>0</v>
      </c>
      <c r="AC116" s="996">
        <v>0</v>
      </c>
      <c r="AE116" s="996">
        <v>0</v>
      </c>
      <c r="AG116" s="996">
        <v>0</v>
      </c>
      <c r="AH116" s="1014"/>
      <c r="AI116" s="987">
        <v>0</v>
      </c>
      <c r="AK116" s="996">
        <v>0</v>
      </c>
      <c r="AM116" s="996">
        <v>0</v>
      </c>
      <c r="AO116" s="999">
        <v>649.06180689600001</v>
      </c>
      <c r="AQ116" s="953"/>
      <c r="AS116" s="953">
        <v>-649.06180689600001</v>
      </c>
    </row>
    <row r="117" spans="1:45" x14ac:dyDescent="0.25">
      <c r="A117" s="958" t="s">
        <v>1113</v>
      </c>
      <c r="B117" s="959"/>
      <c r="C117" s="959" t="s">
        <v>1114</v>
      </c>
      <c r="D117" s="954"/>
      <c r="E117" s="954"/>
      <c r="F117" s="953">
        <v>0</v>
      </c>
      <c r="G117" s="930" t="s">
        <v>1086</v>
      </c>
      <c r="H117" s="897">
        <v>3.6058989272000002</v>
      </c>
      <c r="I117" s="979">
        <v>0</v>
      </c>
      <c r="K117" s="953">
        <v>0</v>
      </c>
      <c r="L117" s="930">
        <v>0.2036</v>
      </c>
      <c r="M117" s="994">
        <v>0</v>
      </c>
      <c r="O117" s="987">
        <v>0</v>
      </c>
      <c r="Q117" s="953">
        <v>0</v>
      </c>
      <c r="R117" s="930">
        <v>1.7611399999999999</v>
      </c>
      <c r="S117" s="994">
        <v>0</v>
      </c>
      <c r="U117" s="953">
        <v>0</v>
      </c>
      <c r="V117" s="930">
        <v>0.2036</v>
      </c>
      <c r="W117" s="994">
        <v>0</v>
      </c>
      <c r="Y117" s="987">
        <v>0</v>
      </c>
      <c r="AA117" s="996">
        <v>0</v>
      </c>
      <c r="AC117" s="996">
        <v>0</v>
      </c>
      <c r="AE117" s="996">
        <v>0</v>
      </c>
      <c r="AG117" s="996">
        <v>0</v>
      </c>
      <c r="AH117" s="1014"/>
      <c r="AI117" s="987">
        <v>0</v>
      </c>
      <c r="AK117" s="996">
        <v>0</v>
      </c>
      <c r="AM117" s="996">
        <v>0</v>
      </c>
      <c r="AO117" s="999">
        <v>0</v>
      </c>
      <c r="AQ117" s="953"/>
      <c r="AS117" s="953">
        <v>0</v>
      </c>
    </row>
    <row r="118" spans="1:45" x14ac:dyDescent="0.25">
      <c r="A118" s="958" t="s">
        <v>1119</v>
      </c>
      <c r="B118" s="959"/>
      <c r="C118" s="959" t="s">
        <v>1120</v>
      </c>
      <c r="D118" s="954"/>
      <c r="E118" s="954"/>
      <c r="F118" s="953">
        <v>0</v>
      </c>
      <c r="G118" s="930" t="s">
        <v>1086</v>
      </c>
      <c r="H118" s="897">
        <v>3.6058989272000002</v>
      </c>
      <c r="I118" s="979">
        <v>0</v>
      </c>
      <c r="K118" s="953">
        <v>0</v>
      </c>
      <c r="L118" s="930">
        <v>0.2036</v>
      </c>
      <c r="M118" s="994">
        <v>0</v>
      </c>
      <c r="O118" s="987">
        <v>0</v>
      </c>
      <c r="Q118" s="953">
        <v>0</v>
      </c>
      <c r="R118" s="930">
        <v>1.7611399999999999</v>
      </c>
      <c r="S118" s="994">
        <v>0</v>
      </c>
      <c r="U118" s="953">
        <v>0</v>
      </c>
      <c r="V118" s="930">
        <v>0.2036</v>
      </c>
      <c r="W118" s="994">
        <v>0</v>
      </c>
      <c r="Y118" s="987">
        <v>0</v>
      </c>
      <c r="AA118" s="996">
        <v>0</v>
      </c>
      <c r="AC118" s="996">
        <v>0</v>
      </c>
      <c r="AE118" s="996">
        <v>0</v>
      </c>
      <c r="AG118" s="996">
        <v>0</v>
      </c>
      <c r="AH118" s="1014"/>
      <c r="AI118" s="987">
        <v>0</v>
      </c>
      <c r="AK118" s="996">
        <v>0</v>
      </c>
      <c r="AM118" s="996">
        <v>0</v>
      </c>
      <c r="AO118" s="999">
        <v>0</v>
      </c>
      <c r="AQ118" s="953"/>
      <c r="AS118" s="953">
        <v>0</v>
      </c>
    </row>
    <row r="119" spans="1:45" x14ac:dyDescent="0.25">
      <c r="A119" s="964" t="s">
        <v>1123</v>
      </c>
      <c r="B119" s="880"/>
      <c r="C119" s="880" t="s">
        <v>1124</v>
      </c>
      <c r="D119" s="954"/>
      <c r="E119" s="954"/>
      <c r="F119" s="953">
        <v>960</v>
      </c>
      <c r="G119" s="930" t="s">
        <v>1086</v>
      </c>
      <c r="H119" s="897">
        <v>3.6058989272000002</v>
      </c>
      <c r="I119" s="979">
        <v>3461.662970112</v>
      </c>
      <c r="K119" s="953">
        <v>26.842105263157894</v>
      </c>
      <c r="L119" s="930">
        <v>0.2036</v>
      </c>
      <c r="M119" s="994">
        <v>207.672</v>
      </c>
      <c r="O119" s="987">
        <v>0</v>
      </c>
      <c r="Q119" s="953">
        <v>5.5263157894736841</v>
      </c>
      <c r="R119" s="930">
        <v>1.7611399999999999</v>
      </c>
      <c r="S119" s="994">
        <v>369.83939999999996</v>
      </c>
      <c r="U119" s="953">
        <v>0</v>
      </c>
      <c r="V119" s="930">
        <v>0.2036</v>
      </c>
      <c r="W119" s="994">
        <v>0</v>
      </c>
      <c r="Y119" s="987">
        <v>0</v>
      </c>
      <c r="AA119" s="996">
        <v>0</v>
      </c>
      <c r="AC119" s="996">
        <v>0</v>
      </c>
      <c r="AE119" s="996">
        <v>0</v>
      </c>
      <c r="AG119" s="996">
        <v>0</v>
      </c>
      <c r="AH119" s="1014"/>
      <c r="AI119" s="987">
        <v>0</v>
      </c>
      <c r="AK119" s="996">
        <v>0</v>
      </c>
      <c r="AM119" s="996">
        <v>0</v>
      </c>
      <c r="AO119" s="999">
        <v>4039.1743701119999</v>
      </c>
      <c r="AQ119" s="953"/>
      <c r="AS119" s="953">
        <v>-4039.1743701119999</v>
      </c>
    </row>
    <row r="120" spans="1:45" x14ac:dyDescent="0.25">
      <c r="A120" s="960" t="s">
        <v>1115</v>
      </c>
      <c r="B120" s="959"/>
      <c r="C120" s="959" t="s">
        <v>1116</v>
      </c>
      <c r="D120" s="954"/>
      <c r="E120" s="954"/>
      <c r="F120" s="953">
        <v>930</v>
      </c>
      <c r="G120" s="930" t="s">
        <v>1086</v>
      </c>
      <c r="H120" s="897">
        <v>3.6058989272000002</v>
      </c>
      <c r="I120" s="979">
        <v>3353.4860022960002</v>
      </c>
      <c r="K120" s="953">
        <v>0</v>
      </c>
      <c r="L120" s="930">
        <v>0.2036</v>
      </c>
      <c r="M120" s="994">
        <v>0</v>
      </c>
      <c r="O120" s="987">
        <v>0</v>
      </c>
      <c r="Q120" s="953">
        <v>0</v>
      </c>
      <c r="R120" s="930">
        <v>1.7611399999999999</v>
      </c>
      <c r="S120" s="994">
        <v>0</v>
      </c>
      <c r="U120" s="953">
        <v>0</v>
      </c>
      <c r="V120" s="930">
        <v>0.2036</v>
      </c>
      <c r="W120" s="994">
        <v>0</v>
      </c>
      <c r="Y120" s="987">
        <v>0</v>
      </c>
      <c r="AA120" s="996">
        <v>0</v>
      </c>
      <c r="AC120" s="996">
        <v>0</v>
      </c>
      <c r="AE120" s="996">
        <v>0</v>
      </c>
      <c r="AG120" s="996">
        <v>0</v>
      </c>
      <c r="AH120" s="1014"/>
      <c r="AI120" s="987">
        <v>0</v>
      </c>
      <c r="AK120" s="996">
        <v>0</v>
      </c>
      <c r="AM120" s="996">
        <v>0</v>
      </c>
      <c r="AO120" s="999">
        <v>3353.4860022960002</v>
      </c>
      <c r="AQ120" s="953"/>
      <c r="AS120" s="953">
        <v>-3353.4860022960002</v>
      </c>
    </row>
    <row r="121" spans="1:45" x14ac:dyDescent="0.25">
      <c r="A121" s="965" t="s">
        <v>1125</v>
      </c>
      <c r="B121" s="966"/>
      <c r="C121" s="966" t="s">
        <v>1126</v>
      </c>
      <c r="D121" s="954"/>
      <c r="E121" s="954"/>
      <c r="F121" s="953">
        <v>0</v>
      </c>
      <c r="G121" s="930" t="s">
        <v>1086</v>
      </c>
      <c r="H121" s="897">
        <v>3.6058989272000002</v>
      </c>
      <c r="I121" s="979">
        <v>0</v>
      </c>
      <c r="K121" s="953">
        <v>0</v>
      </c>
      <c r="L121" s="930">
        <v>0.2036</v>
      </c>
      <c r="M121" s="994">
        <v>0</v>
      </c>
      <c r="O121" s="987">
        <v>0</v>
      </c>
      <c r="Q121" s="953">
        <v>0</v>
      </c>
      <c r="R121" s="930">
        <v>1.7611399999999999</v>
      </c>
      <c r="S121" s="994">
        <v>0</v>
      </c>
      <c r="U121" s="953">
        <v>0</v>
      </c>
      <c r="V121" s="930">
        <v>0.2036</v>
      </c>
      <c r="W121" s="994">
        <v>0</v>
      </c>
      <c r="Y121" s="987">
        <v>0</v>
      </c>
      <c r="AA121" s="996">
        <v>0</v>
      </c>
      <c r="AC121" s="996">
        <v>0</v>
      </c>
      <c r="AE121" s="996">
        <v>0</v>
      </c>
      <c r="AG121" s="996">
        <v>0</v>
      </c>
      <c r="AH121" s="1014"/>
      <c r="AI121" s="987">
        <v>0</v>
      </c>
      <c r="AK121" s="996">
        <v>0</v>
      </c>
      <c r="AM121" s="996">
        <v>0</v>
      </c>
      <c r="AO121" s="999">
        <v>0</v>
      </c>
      <c r="AQ121" s="953"/>
      <c r="AS121" s="953">
        <v>0</v>
      </c>
    </row>
    <row r="122" spans="1:45" x14ac:dyDescent="0.25">
      <c r="A122" s="967" t="s">
        <v>1127</v>
      </c>
      <c r="B122" s="968"/>
      <c r="C122" s="968" t="s">
        <v>1128</v>
      </c>
      <c r="D122" s="954"/>
      <c r="E122" s="954"/>
      <c r="F122" s="953">
        <v>21660</v>
      </c>
      <c r="G122" s="930" t="s">
        <v>1086</v>
      </c>
      <c r="H122" s="897">
        <v>3.6058989272000002</v>
      </c>
      <c r="I122" s="979">
        <v>78103.770763152002</v>
      </c>
      <c r="K122" s="953">
        <v>16.578947368421051</v>
      </c>
      <c r="L122" s="930">
        <v>0.2036</v>
      </c>
      <c r="M122" s="994">
        <v>128.26799999999997</v>
      </c>
      <c r="O122" s="987">
        <v>0</v>
      </c>
      <c r="Q122" s="953">
        <v>0</v>
      </c>
      <c r="R122" s="930">
        <v>1.7611399999999999</v>
      </c>
      <c r="S122" s="994">
        <v>0</v>
      </c>
      <c r="U122" s="953">
        <v>27.631578947368421</v>
      </c>
      <c r="V122" s="930">
        <v>0.2036</v>
      </c>
      <c r="W122" s="994">
        <v>213.78</v>
      </c>
      <c r="Y122" s="987">
        <v>0</v>
      </c>
      <c r="AA122" s="996">
        <v>0</v>
      </c>
      <c r="AC122" s="996">
        <v>0</v>
      </c>
      <c r="AE122" s="996">
        <v>0</v>
      </c>
      <c r="AG122" s="996">
        <v>0</v>
      </c>
      <c r="AH122" s="1014"/>
      <c r="AI122" s="987">
        <v>0</v>
      </c>
      <c r="AK122" s="996">
        <v>0</v>
      </c>
      <c r="AM122" s="996">
        <v>0</v>
      </c>
      <c r="AO122" s="999">
        <v>78445.818763151998</v>
      </c>
      <c r="AQ122" s="953"/>
      <c r="AS122" s="953">
        <v>-78445.818763151998</v>
      </c>
    </row>
    <row r="123" spans="1:45" x14ac:dyDescent="0.25">
      <c r="A123" s="925" t="s">
        <v>1129</v>
      </c>
      <c r="B123" s="926" t="s">
        <v>1130</v>
      </c>
      <c r="C123" s="926" t="s">
        <v>1131</v>
      </c>
      <c r="D123" s="954"/>
      <c r="E123" s="954"/>
      <c r="F123" s="953">
        <v>8400</v>
      </c>
      <c r="G123" s="930" t="s">
        <v>1086</v>
      </c>
      <c r="H123" s="897">
        <v>3.6058989272000002</v>
      </c>
      <c r="I123" s="979">
        <v>30289.550988480001</v>
      </c>
      <c r="K123" s="953">
        <v>85.263157894736835</v>
      </c>
      <c r="L123" s="930">
        <v>0.2036</v>
      </c>
      <c r="M123" s="994">
        <v>659.66399999999999</v>
      </c>
      <c r="O123" s="987">
        <v>0</v>
      </c>
      <c r="Q123" s="953">
        <v>4.7368421052631575</v>
      </c>
      <c r="R123" s="930">
        <v>1.7611399999999999</v>
      </c>
      <c r="S123" s="994">
        <v>317.00519999999995</v>
      </c>
      <c r="U123" s="953">
        <v>10.263157894736842</v>
      </c>
      <c r="V123" s="930">
        <v>0.2036</v>
      </c>
      <c r="W123" s="994">
        <v>79.403999999999996</v>
      </c>
      <c r="Y123" s="987">
        <v>0</v>
      </c>
      <c r="AA123" s="996">
        <v>0</v>
      </c>
      <c r="AC123" s="996">
        <v>0</v>
      </c>
      <c r="AE123" s="996">
        <v>0</v>
      </c>
      <c r="AG123" s="996">
        <v>0</v>
      </c>
      <c r="AH123" s="1014"/>
      <c r="AI123" s="987">
        <v>0</v>
      </c>
      <c r="AK123" s="996">
        <v>0</v>
      </c>
      <c r="AM123" s="996">
        <v>0</v>
      </c>
      <c r="AO123" s="999">
        <v>31345.62418848</v>
      </c>
      <c r="AQ123" s="953"/>
      <c r="AS123" s="953">
        <v>-31345.62418848</v>
      </c>
    </row>
    <row r="124" spans="1:45" x14ac:dyDescent="0.25">
      <c r="A124" s="969" t="s">
        <v>1132</v>
      </c>
      <c r="B124" s="956"/>
      <c r="C124" s="956" t="s">
        <v>1133</v>
      </c>
      <c r="D124" s="954"/>
      <c r="E124" s="954"/>
      <c r="F124" s="953">
        <v>8190</v>
      </c>
      <c r="G124" s="930" t="s">
        <v>1086</v>
      </c>
      <c r="H124" s="897">
        <v>3.6058989272000002</v>
      </c>
      <c r="I124" s="979">
        <v>29532.312213768</v>
      </c>
      <c r="K124" s="953">
        <v>23.684210526315788</v>
      </c>
      <c r="L124" s="930">
        <v>0.2036</v>
      </c>
      <c r="M124" s="994">
        <v>183.23999999999998</v>
      </c>
      <c r="O124" s="987">
        <v>0</v>
      </c>
      <c r="Q124" s="953">
        <v>0</v>
      </c>
      <c r="R124" s="930">
        <v>1.7611399999999999</v>
      </c>
      <c r="S124" s="994">
        <v>0</v>
      </c>
      <c r="U124" s="953">
        <v>4.7368421052631575</v>
      </c>
      <c r="V124" s="930">
        <v>0.2036</v>
      </c>
      <c r="W124" s="994">
        <v>36.647999999999996</v>
      </c>
      <c r="Y124" s="987">
        <v>0</v>
      </c>
      <c r="AA124" s="996">
        <v>0</v>
      </c>
      <c r="AC124" s="996">
        <v>0</v>
      </c>
      <c r="AE124" s="996">
        <v>0</v>
      </c>
      <c r="AG124" s="996">
        <v>0</v>
      </c>
      <c r="AH124" s="1014"/>
      <c r="AI124" s="987">
        <v>0</v>
      </c>
      <c r="AK124" s="996">
        <v>0</v>
      </c>
      <c r="AM124" s="996">
        <v>0</v>
      </c>
      <c r="AO124" s="999">
        <v>29752.200213768003</v>
      </c>
      <c r="AQ124" s="953"/>
      <c r="AS124" s="953">
        <v>-29752.200213768003</v>
      </c>
    </row>
    <row r="125" spans="1:45" x14ac:dyDescent="0.25">
      <c r="A125" s="925" t="s">
        <v>1134</v>
      </c>
      <c r="B125" s="926" t="s">
        <v>1135</v>
      </c>
      <c r="C125" s="926">
        <v>258417</v>
      </c>
      <c r="D125" s="954"/>
      <c r="E125" s="954"/>
      <c r="F125" s="953">
        <v>6234</v>
      </c>
      <c r="G125" s="930" t="s">
        <v>1086</v>
      </c>
      <c r="H125" s="897">
        <v>3.6058989272000002</v>
      </c>
      <c r="I125" s="979">
        <v>22479.173912164802</v>
      </c>
      <c r="K125" s="953">
        <v>263.68421052631578</v>
      </c>
      <c r="L125" s="930">
        <v>0.2036</v>
      </c>
      <c r="M125" s="994">
        <v>2040.0719999999999</v>
      </c>
      <c r="O125" s="987">
        <v>0</v>
      </c>
      <c r="Q125" s="953">
        <v>14.210526315789474</v>
      </c>
      <c r="R125" s="930">
        <v>1.7611399999999999</v>
      </c>
      <c r="S125" s="994">
        <v>951.01560000000006</v>
      </c>
      <c r="U125" s="953">
        <v>14.210526315789474</v>
      </c>
      <c r="V125" s="930">
        <v>0.2036</v>
      </c>
      <c r="W125" s="994">
        <v>109.944</v>
      </c>
      <c r="Y125" s="987">
        <v>0</v>
      </c>
      <c r="AA125" s="996">
        <v>0</v>
      </c>
      <c r="AC125" s="996">
        <v>0</v>
      </c>
      <c r="AE125" s="996">
        <v>0</v>
      </c>
      <c r="AG125" s="996">
        <v>0</v>
      </c>
      <c r="AH125" s="1014"/>
      <c r="AI125" s="987">
        <v>0</v>
      </c>
      <c r="AK125" s="996">
        <v>0</v>
      </c>
      <c r="AM125" s="996">
        <v>0</v>
      </c>
      <c r="AO125" s="999">
        <v>25580.205512164801</v>
      </c>
      <c r="AQ125" s="953"/>
      <c r="AS125" s="953">
        <v>-25580.205512164801</v>
      </c>
    </row>
    <row r="126" spans="1:45" x14ac:dyDescent="0.25">
      <c r="A126" s="925" t="s">
        <v>1136</v>
      </c>
      <c r="B126" s="926" t="s">
        <v>1137</v>
      </c>
      <c r="C126" s="926" t="s">
        <v>1138</v>
      </c>
      <c r="D126" s="954"/>
      <c r="E126" s="954"/>
      <c r="F126" s="953">
        <v>9504</v>
      </c>
      <c r="G126" s="930" t="s">
        <v>1074</v>
      </c>
      <c r="H126" s="897">
        <v>3.6058989272000002</v>
      </c>
      <c r="I126" s="979">
        <v>34270.463404108799</v>
      </c>
      <c r="K126" s="953">
        <v>255.78947368421055</v>
      </c>
      <c r="L126" s="930">
        <v>0.2036</v>
      </c>
      <c r="M126" s="994">
        <v>1978.9920000000004</v>
      </c>
      <c r="O126" s="987">
        <v>0</v>
      </c>
      <c r="Q126" s="953">
        <v>4.7368421052631575</v>
      </c>
      <c r="R126" s="930">
        <v>1.7611399999999999</v>
      </c>
      <c r="S126" s="994">
        <v>317.00519999999995</v>
      </c>
      <c r="U126" s="953">
        <v>9.0789473684210531</v>
      </c>
      <c r="V126" s="930">
        <v>0.2036</v>
      </c>
      <c r="W126" s="994">
        <v>70.242000000000004</v>
      </c>
      <c r="Y126" s="987">
        <v>0</v>
      </c>
      <c r="AA126" s="996">
        <v>0</v>
      </c>
      <c r="AC126" s="996">
        <v>0</v>
      </c>
      <c r="AE126" s="996">
        <v>0</v>
      </c>
      <c r="AG126" s="996">
        <v>0</v>
      </c>
      <c r="AH126" s="1014"/>
      <c r="AI126" s="987">
        <v>0</v>
      </c>
      <c r="AK126" s="996">
        <v>0</v>
      </c>
      <c r="AM126" s="996">
        <v>0</v>
      </c>
      <c r="AO126" s="999">
        <v>36636.702604108796</v>
      </c>
      <c r="AQ126" s="953"/>
      <c r="AS126" s="953">
        <v>-36636.702604108796</v>
      </c>
    </row>
    <row r="127" spans="1:45" x14ac:dyDescent="0.25">
      <c r="A127" s="925" t="s">
        <v>1139</v>
      </c>
      <c r="B127" s="926" t="s">
        <v>1140</v>
      </c>
      <c r="C127" s="926" t="s">
        <v>1141</v>
      </c>
      <c r="D127" s="954"/>
      <c r="E127" s="954"/>
      <c r="F127" s="953">
        <v>18661</v>
      </c>
      <c r="G127" s="930" t="s">
        <v>1086</v>
      </c>
      <c r="H127" s="897">
        <v>3.6058989272000002</v>
      </c>
      <c r="I127" s="979">
        <v>67289.679880479205</v>
      </c>
      <c r="K127" s="953">
        <v>778.13157894736844</v>
      </c>
      <c r="L127" s="930">
        <v>0.2036</v>
      </c>
      <c r="M127" s="994">
        <v>6020.2483999999995</v>
      </c>
      <c r="O127" s="987">
        <v>0</v>
      </c>
      <c r="Q127" s="953">
        <v>23.684210526315791</v>
      </c>
      <c r="R127" s="930">
        <v>1.7611399999999999</v>
      </c>
      <c r="S127" s="994">
        <v>1585.0260000000001</v>
      </c>
      <c r="U127" s="953">
        <v>0</v>
      </c>
      <c r="V127" s="930">
        <v>0.2036</v>
      </c>
      <c r="W127" s="994">
        <v>0</v>
      </c>
      <c r="Y127" s="987">
        <v>0</v>
      </c>
      <c r="AA127" s="996">
        <v>0</v>
      </c>
      <c r="AC127" s="996">
        <v>0</v>
      </c>
      <c r="AE127" s="996">
        <v>0</v>
      </c>
      <c r="AG127" s="996">
        <v>0</v>
      </c>
      <c r="AH127" s="1014"/>
      <c r="AI127" s="987">
        <v>0</v>
      </c>
      <c r="AK127" s="996">
        <v>0</v>
      </c>
      <c r="AM127" s="996">
        <v>0</v>
      </c>
      <c r="AO127" s="999">
        <v>74894.9542804792</v>
      </c>
      <c r="AQ127" s="953"/>
      <c r="AS127" s="953">
        <v>-74894.9542804792</v>
      </c>
    </row>
    <row r="128" spans="1:45" x14ac:dyDescent="0.25">
      <c r="A128" s="925" t="s">
        <v>1142</v>
      </c>
      <c r="B128" s="926" t="s">
        <v>1143</v>
      </c>
      <c r="C128" s="926">
        <v>206106</v>
      </c>
      <c r="D128" s="954"/>
      <c r="E128" s="954"/>
      <c r="F128" s="953">
        <v>10620</v>
      </c>
      <c r="G128" s="930" t="s">
        <v>1074</v>
      </c>
      <c r="H128" s="897">
        <v>3.6058989272000002</v>
      </c>
      <c r="I128" s="979">
        <v>38294.646606864</v>
      </c>
      <c r="K128" s="953">
        <v>290.5263157894737</v>
      </c>
      <c r="L128" s="930">
        <v>0.2036</v>
      </c>
      <c r="M128" s="994">
        <v>2247.7440000000001</v>
      </c>
      <c r="O128" s="987">
        <v>0</v>
      </c>
      <c r="Q128" s="953">
        <v>10.263157894736842</v>
      </c>
      <c r="R128" s="930">
        <v>1.7611399999999999</v>
      </c>
      <c r="S128" s="994">
        <v>686.8445999999999</v>
      </c>
      <c r="U128" s="953">
        <v>0</v>
      </c>
      <c r="V128" s="930">
        <v>0.2036</v>
      </c>
      <c r="W128" s="994">
        <v>0</v>
      </c>
      <c r="Y128" s="987">
        <v>0</v>
      </c>
      <c r="AA128" s="996">
        <v>0</v>
      </c>
      <c r="AC128" s="996">
        <v>0</v>
      </c>
      <c r="AE128" s="996">
        <v>0</v>
      </c>
      <c r="AG128" s="996">
        <v>0</v>
      </c>
      <c r="AH128" s="1014"/>
      <c r="AI128" s="987">
        <v>0</v>
      </c>
      <c r="AK128" s="996">
        <v>0</v>
      </c>
      <c r="AM128" s="996">
        <v>0</v>
      </c>
      <c r="AO128" s="999">
        <v>41229.235206863996</v>
      </c>
      <c r="AQ128" s="953"/>
      <c r="AS128" s="953">
        <v>-41229.235206863996</v>
      </c>
    </row>
    <row r="129" spans="1:45" x14ac:dyDescent="0.25">
      <c r="A129" s="888" t="s">
        <v>1144</v>
      </c>
      <c r="B129" s="957"/>
      <c r="C129" s="970" t="s">
        <v>1145</v>
      </c>
      <c r="D129" s="954"/>
      <c r="E129" s="954"/>
      <c r="F129" s="953">
        <v>26862</v>
      </c>
      <c r="G129" s="930" t="s">
        <v>1074</v>
      </c>
      <c r="H129" s="897">
        <v>3.6058989272000002</v>
      </c>
      <c r="I129" s="979">
        <v>96861.65698244641</v>
      </c>
      <c r="K129" s="953">
        <v>1382.5263157894738</v>
      </c>
      <c r="L129" s="930">
        <v>0.2036</v>
      </c>
      <c r="M129" s="994">
        <v>10696.329600000001</v>
      </c>
      <c r="O129" s="987">
        <v>0</v>
      </c>
      <c r="Q129" s="953">
        <v>52.736842105263158</v>
      </c>
      <c r="R129" s="930">
        <v>1.7611399999999999</v>
      </c>
      <c r="S129" s="994">
        <v>3529.3245599999996</v>
      </c>
      <c r="U129" s="953">
        <v>65.526315789473685</v>
      </c>
      <c r="V129" s="930">
        <v>0.2036</v>
      </c>
      <c r="W129" s="994">
        <v>506.964</v>
      </c>
      <c r="Y129" s="987">
        <v>0</v>
      </c>
      <c r="AA129" s="996">
        <v>0</v>
      </c>
      <c r="AC129" s="996">
        <v>0</v>
      </c>
      <c r="AE129" s="996">
        <v>0</v>
      </c>
      <c r="AG129" s="996">
        <v>0</v>
      </c>
      <c r="AH129" s="1014"/>
      <c r="AI129" s="987">
        <v>0</v>
      </c>
      <c r="AK129" s="996">
        <v>0</v>
      </c>
      <c r="AM129" s="996">
        <v>0</v>
      </c>
      <c r="AO129" s="999">
        <v>111594.27514244641</v>
      </c>
      <c r="AQ129" s="953"/>
      <c r="AS129" s="953">
        <v>-111594.27514244641</v>
      </c>
    </row>
    <row r="130" spans="1:45" x14ac:dyDescent="0.25">
      <c r="A130" s="925" t="s">
        <v>1147</v>
      </c>
      <c r="B130" s="926" t="s">
        <v>1093</v>
      </c>
      <c r="C130" s="926" t="s">
        <v>1148</v>
      </c>
      <c r="D130" s="954"/>
      <c r="E130" s="954"/>
      <c r="F130" s="953">
        <v>5874</v>
      </c>
      <c r="G130" s="930" t="s">
        <v>1086</v>
      </c>
      <c r="H130" s="897">
        <v>3.6058989272000002</v>
      </c>
      <c r="I130" s="979">
        <v>21181.0502983728</v>
      </c>
      <c r="K130" s="953">
        <v>52.105263157894733</v>
      </c>
      <c r="L130" s="930">
        <v>0.2036</v>
      </c>
      <c r="M130" s="994">
        <v>403.12799999999993</v>
      </c>
      <c r="O130" s="987">
        <v>0</v>
      </c>
      <c r="Q130" s="953">
        <v>4.7368421052631575</v>
      </c>
      <c r="R130" s="930">
        <v>1.7611399999999999</v>
      </c>
      <c r="S130" s="994">
        <v>317.00519999999995</v>
      </c>
      <c r="U130" s="953">
        <v>22.736842105263158</v>
      </c>
      <c r="V130" s="930">
        <v>0.2036</v>
      </c>
      <c r="W130" s="994">
        <v>175.91040000000001</v>
      </c>
      <c r="Y130" s="987">
        <v>0</v>
      </c>
      <c r="AA130" s="996">
        <v>0</v>
      </c>
      <c r="AC130" s="996">
        <v>0</v>
      </c>
      <c r="AE130" s="996">
        <v>0</v>
      </c>
      <c r="AG130" s="996">
        <v>0</v>
      </c>
      <c r="AH130" s="1014"/>
      <c r="AI130" s="987">
        <v>0</v>
      </c>
      <c r="AK130" s="996">
        <v>0</v>
      </c>
      <c r="AM130" s="996">
        <v>0</v>
      </c>
      <c r="AO130" s="999">
        <v>22077.093898372801</v>
      </c>
      <c r="AQ130" s="953"/>
      <c r="AS130" s="953">
        <v>-22077.093898372801</v>
      </c>
    </row>
    <row r="131" spans="1:45" x14ac:dyDescent="0.25">
      <c r="A131" s="888" t="s">
        <v>1149</v>
      </c>
      <c r="B131" s="957"/>
      <c r="C131" s="970" t="s">
        <v>1150</v>
      </c>
      <c r="D131" s="954"/>
      <c r="E131" s="954"/>
      <c r="F131" s="953">
        <v>31398</v>
      </c>
      <c r="G131" s="930" t="s">
        <v>1074</v>
      </c>
      <c r="H131" s="897">
        <v>3.6058989272000002</v>
      </c>
      <c r="I131" s="979">
        <v>113218.01451622561</v>
      </c>
      <c r="K131" s="953">
        <v>1219.578947368421</v>
      </c>
      <c r="L131" s="930">
        <v>0.2036</v>
      </c>
      <c r="M131" s="994">
        <v>9435.6383999999998</v>
      </c>
      <c r="O131" s="987">
        <v>0</v>
      </c>
      <c r="Q131" s="953">
        <v>21.315789473684209</v>
      </c>
      <c r="R131" s="930">
        <v>1.7611399999999999</v>
      </c>
      <c r="S131" s="994">
        <v>1426.5233999999998</v>
      </c>
      <c r="U131" s="953">
        <v>116.84210526315789</v>
      </c>
      <c r="V131" s="930">
        <v>0.2036</v>
      </c>
      <c r="W131" s="994">
        <v>903.98400000000004</v>
      </c>
      <c r="Y131" s="987">
        <v>0</v>
      </c>
      <c r="AA131" s="996">
        <v>0</v>
      </c>
      <c r="AC131" s="996">
        <v>0</v>
      </c>
      <c r="AE131" s="996">
        <v>0</v>
      </c>
      <c r="AG131" s="996">
        <v>0</v>
      </c>
      <c r="AH131" s="1014"/>
      <c r="AI131" s="987">
        <v>0</v>
      </c>
      <c r="AK131" s="996">
        <v>0</v>
      </c>
      <c r="AM131" s="996">
        <v>0</v>
      </c>
      <c r="AO131" s="999">
        <v>124984.16031622561</v>
      </c>
      <c r="AQ131" s="953"/>
      <c r="AS131" s="953">
        <v>-124984.16031622561</v>
      </c>
    </row>
    <row r="132" spans="1:45" x14ac:dyDescent="0.25">
      <c r="A132" s="925" t="s">
        <v>1151</v>
      </c>
      <c r="B132" s="926" t="s">
        <v>1152</v>
      </c>
      <c r="C132" s="926">
        <v>206133</v>
      </c>
      <c r="D132" s="954"/>
      <c r="E132" s="954"/>
      <c r="F132" s="953">
        <v>10662</v>
      </c>
      <c r="G132" s="930" t="s">
        <v>1086</v>
      </c>
      <c r="H132" s="897">
        <v>3.6058989272000002</v>
      </c>
      <c r="I132" s="979">
        <v>38446.094361806405</v>
      </c>
      <c r="K132" s="953">
        <v>314.21052631578948</v>
      </c>
      <c r="L132" s="930">
        <v>0.2036</v>
      </c>
      <c r="M132" s="994">
        <v>2430.9840000000004</v>
      </c>
      <c r="O132" s="987">
        <v>0</v>
      </c>
      <c r="Q132" s="953">
        <v>0</v>
      </c>
      <c r="R132" s="930">
        <v>1.7611399999999999</v>
      </c>
      <c r="S132" s="994">
        <v>0</v>
      </c>
      <c r="U132" s="953">
        <v>84.473684210526315</v>
      </c>
      <c r="V132" s="930">
        <v>0.2036</v>
      </c>
      <c r="W132" s="994">
        <v>653.55599999999993</v>
      </c>
      <c r="Y132" s="987">
        <v>0</v>
      </c>
      <c r="AA132" s="996">
        <v>0</v>
      </c>
      <c r="AC132" s="996">
        <v>0</v>
      </c>
      <c r="AE132" s="996">
        <v>0</v>
      </c>
      <c r="AG132" s="996">
        <v>0</v>
      </c>
      <c r="AH132" s="1014"/>
      <c r="AI132" s="987">
        <v>0</v>
      </c>
      <c r="AK132" s="996">
        <v>0</v>
      </c>
      <c r="AM132" s="996">
        <v>0</v>
      </c>
      <c r="AO132" s="999">
        <v>41530.634361806398</v>
      </c>
      <c r="AQ132" s="953"/>
      <c r="AS132" s="953">
        <v>-41530.634361806398</v>
      </c>
    </row>
    <row r="133" spans="1:45" x14ac:dyDescent="0.25">
      <c r="A133" s="925" t="s">
        <v>1153</v>
      </c>
      <c r="B133" s="926" t="s">
        <v>1154</v>
      </c>
      <c r="C133" s="926" t="s">
        <v>1155</v>
      </c>
      <c r="D133" s="954"/>
      <c r="E133" s="954"/>
      <c r="F133" s="953">
        <v>1620</v>
      </c>
      <c r="G133" s="930" t="s">
        <v>1074</v>
      </c>
      <c r="H133" s="897">
        <v>3.6058989272000002</v>
      </c>
      <c r="I133" s="979">
        <v>5841.5562620640003</v>
      </c>
      <c r="K133" s="953">
        <v>71.05263157894737</v>
      </c>
      <c r="L133" s="930">
        <v>0.2036</v>
      </c>
      <c r="M133" s="994">
        <v>549.72</v>
      </c>
      <c r="O133" s="987">
        <v>0</v>
      </c>
      <c r="Q133" s="953">
        <v>0</v>
      </c>
      <c r="R133" s="930">
        <v>1.7611399999999999</v>
      </c>
      <c r="S133" s="994">
        <v>0</v>
      </c>
      <c r="U133" s="953">
        <v>4.7368421052631575</v>
      </c>
      <c r="V133" s="930">
        <v>0.2036</v>
      </c>
      <c r="W133" s="994">
        <v>36.647999999999996</v>
      </c>
      <c r="Y133" s="987">
        <v>0</v>
      </c>
      <c r="AA133" s="996">
        <v>0</v>
      </c>
      <c r="AC133" s="996">
        <v>0</v>
      </c>
      <c r="AE133" s="996">
        <v>0</v>
      </c>
      <c r="AG133" s="996">
        <v>0</v>
      </c>
      <c r="AH133" s="1014"/>
      <c r="AI133" s="987">
        <v>0</v>
      </c>
      <c r="AK133" s="996">
        <v>0</v>
      </c>
      <c r="AM133" s="996">
        <v>0</v>
      </c>
      <c r="AO133" s="999">
        <v>6427.9242620640007</v>
      </c>
      <c r="AQ133" s="953"/>
      <c r="AS133" s="953">
        <v>-6427.9242620640007</v>
      </c>
    </row>
    <row r="134" spans="1:45" x14ac:dyDescent="0.25">
      <c r="A134" s="925" t="s">
        <v>1156</v>
      </c>
      <c r="B134" s="926" t="s">
        <v>1157</v>
      </c>
      <c r="C134" s="926">
        <v>206134</v>
      </c>
      <c r="D134" s="954"/>
      <c r="E134" s="954"/>
      <c r="F134" s="953">
        <v>20196</v>
      </c>
      <c r="G134" s="930" t="s">
        <v>1086</v>
      </c>
      <c r="H134" s="897">
        <v>3.6058989272000002</v>
      </c>
      <c r="I134" s="979">
        <v>72824.734733731209</v>
      </c>
      <c r="K134" s="953">
        <v>388.42105263157896</v>
      </c>
      <c r="L134" s="930">
        <v>0.2036</v>
      </c>
      <c r="M134" s="994">
        <v>3005.1360000000004</v>
      </c>
      <c r="O134" s="987">
        <v>0</v>
      </c>
      <c r="Q134" s="953">
        <v>0</v>
      </c>
      <c r="R134" s="930">
        <v>1.7611399999999999</v>
      </c>
      <c r="S134" s="994">
        <v>0</v>
      </c>
      <c r="U134" s="953">
        <v>122.84210526315789</v>
      </c>
      <c r="V134" s="930">
        <v>0.2036</v>
      </c>
      <c r="W134" s="994">
        <v>950.40479999999991</v>
      </c>
      <c r="Y134" s="987">
        <v>0</v>
      </c>
      <c r="AA134" s="996">
        <v>0</v>
      </c>
      <c r="AC134" s="996">
        <v>0</v>
      </c>
      <c r="AE134" s="996">
        <v>0</v>
      </c>
      <c r="AG134" s="996">
        <v>0</v>
      </c>
      <c r="AH134" s="1014"/>
      <c r="AI134" s="987">
        <v>0</v>
      </c>
      <c r="AK134" s="996">
        <v>0</v>
      </c>
      <c r="AM134" s="996">
        <v>0</v>
      </c>
      <c r="AO134" s="999">
        <v>76780.275533731212</v>
      </c>
      <c r="AQ134" s="953"/>
      <c r="AS134" s="953">
        <v>-76780.275533731212</v>
      </c>
    </row>
    <row r="135" spans="1:45" x14ac:dyDescent="0.25">
      <c r="A135" s="925" t="s">
        <v>1158</v>
      </c>
      <c r="B135" s="926"/>
      <c r="C135" s="926" t="s">
        <v>1159</v>
      </c>
      <c r="D135" s="954"/>
      <c r="E135" s="954"/>
      <c r="F135" s="953">
        <v>20635</v>
      </c>
      <c r="G135" s="930" t="s">
        <v>1074</v>
      </c>
      <c r="H135" s="897">
        <v>3.6058989272000002</v>
      </c>
      <c r="I135" s="979">
        <v>74407.724362772002</v>
      </c>
      <c r="K135" s="953">
        <v>81.473684210526315</v>
      </c>
      <c r="L135" s="930">
        <v>0.2036</v>
      </c>
      <c r="M135" s="994">
        <v>630.3456000000001</v>
      </c>
      <c r="O135" s="987">
        <v>0</v>
      </c>
      <c r="Q135" s="953">
        <v>20.526315789473685</v>
      </c>
      <c r="R135" s="930">
        <v>1.7611399999999999</v>
      </c>
      <c r="S135" s="994">
        <v>1373.6891999999998</v>
      </c>
      <c r="U135" s="953">
        <v>5.5263157894736841</v>
      </c>
      <c r="V135" s="930">
        <v>0.2036</v>
      </c>
      <c r="W135" s="994">
        <v>42.756</v>
      </c>
      <c r="Y135" s="987">
        <v>0</v>
      </c>
      <c r="AA135" s="996">
        <v>0</v>
      </c>
      <c r="AC135" s="996">
        <v>0</v>
      </c>
      <c r="AE135" s="996">
        <v>0</v>
      </c>
      <c r="AG135" s="996">
        <v>0</v>
      </c>
      <c r="AH135" s="1014"/>
      <c r="AI135" s="987">
        <v>0</v>
      </c>
      <c r="AK135" s="996">
        <v>0</v>
      </c>
      <c r="AM135" s="996">
        <v>0</v>
      </c>
      <c r="AO135" s="999">
        <v>76454.51516277199</v>
      </c>
      <c r="AQ135" s="953"/>
      <c r="AS135" s="953">
        <v>-76454.51516277199</v>
      </c>
    </row>
    <row r="136" spans="1:45" x14ac:dyDescent="0.25">
      <c r="A136" s="925" t="s">
        <v>1160</v>
      </c>
      <c r="B136" s="926"/>
      <c r="C136" s="926" t="s">
        <v>1161</v>
      </c>
      <c r="D136" s="954"/>
      <c r="E136" s="954"/>
      <c r="F136" s="953">
        <v>11952</v>
      </c>
      <c r="G136" s="930" t="s">
        <v>1074</v>
      </c>
      <c r="H136" s="897">
        <v>3.6058989272000002</v>
      </c>
      <c r="I136" s="979">
        <v>43097.703977894402</v>
      </c>
      <c r="K136" s="953">
        <v>105</v>
      </c>
      <c r="L136" s="930">
        <v>0.2036</v>
      </c>
      <c r="M136" s="994">
        <v>812.36400000000003</v>
      </c>
      <c r="O136" s="987">
        <v>0</v>
      </c>
      <c r="Q136" s="953">
        <v>0</v>
      </c>
      <c r="R136" s="930">
        <v>1.7611399999999999</v>
      </c>
      <c r="S136" s="994">
        <v>0</v>
      </c>
      <c r="U136" s="953">
        <v>13.736842105263158</v>
      </c>
      <c r="V136" s="930">
        <v>0.2036</v>
      </c>
      <c r="W136" s="994">
        <v>106.2792</v>
      </c>
      <c r="Y136" s="987">
        <v>0</v>
      </c>
      <c r="AA136" s="996">
        <v>0</v>
      </c>
      <c r="AC136" s="996">
        <v>0</v>
      </c>
      <c r="AE136" s="996">
        <v>0</v>
      </c>
      <c r="AG136" s="996">
        <v>0</v>
      </c>
      <c r="AH136" s="1014"/>
      <c r="AI136" s="987">
        <v>0</v>
      </c>
      <c r="AK136" s="996">
        <v>0</v>
      </c>
      <c r="AM136" s="996">
        <v>0</v>
      </c>
      <c r="AO136" s="999">
        <v>44016.3471778944</v>
      </c>
      <c r="AQ136" s="953"/>
      <c r="AS136" s="953">
        <v>-44016.3471778944</v>
      </c>
    </row>
    <row r="137" spans="1:45" x14ac:dyDescent="0.25">
      <c r="A137" s="925" t="s">
        <v>1162</v>
      </c>
      <c r="B137" s="926" t="s">
        <v>1163</v>
      </c>
      <c r="C137" s="926">
        <v>206109</v>
      </c>
      <c r="D137" s="954"/>
      <c r="E137" s="954"/>
      <c r="F137" s="953">
        <v>21112</v>
      </c>
      <c r="G137" s="930" t="s">
        <v>1074</v>
      </c>
      <c r="H137" s="897">
        <v>3.6058989272000002</v>
      </c>
      <c r="I137" s="979">
        <v>76127.738151046404</v>
      </c>
      <c r="K137" s="953">
        <v>142.89473684210526</v>
      </c>
      <c r="L137" s="930">
        <v>0.2036</v>
      </c>
      <c r="M137" s="994">
        <v>1105.548</v>
      </c>
      <c r="O137" s="987">
        <v>0</v>
      </c>
      <c r="Q137" s="953">
        <v>0</v>
      </c>
      <c r="R137" s="930">
        <v>1.7611399999999999</v>
      </c>
      <c r="S137" s="994">
        <v>0</v>
      </c>
      <c r="U137" s="953">
        <v>9</v>
      </c>
      <c r="V137" s="930">
        <v>0.2036</v>
      </c>
      <c r="W137" s="994">
        <v>69.631200000000007</v>
      </c>
      <c r="Y137" s="987">
        <v>0</v>
      </c>
      <c r="AA137" s="996">
        <v>0</v>
      </c>
      <c r="AC137" s="996">
        <v>0</v>
      </c>
      <c r="AE137" s="996">
        <v>0</v>
      </c>
      <c r="AG137" s="996">
        <v>0</v>
      </c>
      <c r="AH137" s="1014"/>
      <c r="AI137" s="987">
        <v>0</v>
      </c>
      <c r="AK137" s="996">
        <v>0</v>
      </c>
      <c r="AM137" s="996">
        <v>0</v>
      </c>
      <c r="AO137" s="999">
        <v>77302.917351046402</v>
      </c>
      <c r="AQ137" s="953"/>
      <c r="AS137" s="953">
        <v>-77302.917351046402</v>
      </c>
    </row>
    <row r="138" spans="1:45" x14ac:dyDescent="0.25">
      <c r="A138" s="925" t="s">
        <v>1164</v>
      </c>
      <c r="B138" s="926" t="s">
        <v>1165</v>
      </c>
      <c r="C138" s="926">
        <v>206110</v>
      </c>
      <c r="D138" s="954"/>
      <c r="E138" s="954"/>
      <c r="F138" s="953">
        <v>21023.894736842107</v>
      </c>
      <c r="G138" s="930" t="s">
        <v>1074</v>
      </c>
      <c r="H138" s="897">
        <v>3.6058989272000002</v>
      </c>
      <c r="I138" s="979">
        <v>75810.039477144688</v>
      </c>
      <c r="K138" s="953">
        <v>95.368421052631589</v>
      </c>
      <c r="L138" s="930">
        <v>0.2036</v>
      </c>
      <c r="M138" s="994">
        <v>737.84640000000013</v>
      </c>
      <c r="O138" s="987">
        <v>0</v>
      </c>
      <c r="Q138" s="953">
        <v>0</v>
      </c>
      <c r="R138" s="930">
        <v>1.7611399999999999</v>
      </c>
      <c r="S138" s="994">
        <v>0</v>
      </c>
      <c r="U138" s="953">
        <v>33.631578947368418</v>
      </c>
      <c r="V138" s="930">
        <v>0.2036</v>
      </c>
      <c r="W138" s="994">
        <v>260.20079999999996</v>
      </c>
      <c r="Y138" s="987">
        <v>0</v>
      </c>
      <c r="AA138" s="996">
        <v>0</v>
      </c>
      <c r="AC138" s="996">
        <v>0</v>
      </c>
      <c r="AE138" s="996">
        <v>0</v>
      </c>
      <c r="AG138" s="996">
        <v>0</v>
      </c>
      <c r="AH138" s="1014"/>
      <c r="AI138" s="987">
        <v>0</v>
      </c>
      <c r="AK138" s="996">
        <v>0</v>
      </c>
      <c r="AM138" s="996">
        <v>0</v>
      </c>
      <c r="AO138" s="999">
        <v>76808.086677144689</v>
      </c>
      <c r="AQ138" s="953"/>
      <c r="AS138" s="953">
        <v>-76808.086677144689</v>
      </c>
    </row>
    <row r="139" spans="1:45" x14ac:dyDescent="0.25">
      <c r="A139" s="925" t="s">
        <v>1166</v>
      </c>
      <c r="B139" s="926" t="s">
        <v>1167</v>
      </c>
      <c r="C139" s="926">
        <v>206135</v>
      </c>
      <c r="D139" s="954"/>
      <c r="E139" s="954"/>
      <c r="F139" s="953">
        <v>15666</v>
      </c>
      <c r="G139" s="930" t="s">
        <v>1086</v>
      </c>
      <c r="H139" s="897">
        <v>3.6058989272000002</v>
      </c>
      <c r="I139" s="979">
        <v>56490.012593515203</v>
      </c>
      <c r="K139" s="953">
        <v>99.78947368421052</v>
      </c>
      <c r="L139" s="930">
        <v>0.2036</v>
      </c>
      <c r="M139" s="994">
        <v>772.05119999999999</v>
      </c>
      <c r="O139" s="987">
        <v>0</v>
      </c>
      <c r="Q139" s="953">
        <v>10.263157894736842</v>
      </c>
      <c r="R139" s="930">
        <v>1.7611399999999999</v>
      </c>
      <c r="S139" s="994">
        <v>686.8445999999999</v>
      </c>
      <c r="U139" s="953">
        <v>27.315789473684209</v>
      </c>
      <c r="V139" s="930">
        <v>0.2036</v>
      </c>
      <c r="W139" s="994">
        <v>211.33680000000001</v>
      </c>
      <c r="Y139" s="987">
        <v>0</v>
      </c>
      <c r="AA139" s="996">
        <v>0</v>
      </c>
      <c r="AC139" s="996">
        <v>0</v>
      </c>
      <c r="AE139" s="996">
        <v>0</v>
      </c>
      <c r="AG139" s="996">
        <v>0</v>
      </c>
      <c r="AH139" s="1014"/>
      <c r="AI139" s="987">
        <v>0</v>
      </c>
      <c r="AK139" s="996">
        <v>0</v>
      </c>
      <c r="AM139" s="996">
        <v>0</v>
      </c>
      <c r="AO139" s="999">
        <v>58160.245193515198</v>
      </c>
      <c r="AQ139" s="953"/>
      <c r="AS139" s="953">
        <v>-58160.245193515198</v>
      </c>
    </row>
    <row r="140" spans="1:45" x14ac:dyDescent="0.25">
      <c r="A140" s="925" t="s">
        <v>1168</v>
      </c>
      <c r="B140" s="926" t="s">
        <v>1169</v>
      </c>
      <c r="C140" s="926">
        <v>509195</v>
      </c>
      <c r="D140" s="954"/>
      <c r="E140" s="954"/>
      <c r="F140" s="953">
        <v>8250</v>
      </c>
      <c r="G140" s="930" t="s">
        <v>1074</v>
      </c>
      <c r="H140" s="897">
        <v>3.6058989272000002</v>
      </c>
      <c r="I140" s="979">
        <v>29748.6661494</v>
      </c>
      <c r="K140" s="953">
        <v>81.31578947368422</v>
      </c>
      <c r="L140" s="930">
        <v>0.2036</v>
      </c>
      <c r="M140" s="994">
        <v>629.12400000000002</v>
      </c>
      <c r="O140" s="987">
        <v>0</v>
      </c>
      <c r="Q140" s="953">
        <v>0</v>
      </c>
      <c r="R140" s="930">
        <v>1.7611399999999999</v>
      </c>
      <c r="S140" s="994">
        <v>0</v>
      </c>
      <c r="U140" s="953">
        <v>0</v>
      </c>
      <c r="V140" s="930">
        <v>0.2036</v>
      </c>
      <c r="W140" s="994">
        <v>0</v>
      </c>
      <c r="Y140" s="987">
        <v>0</v>
      </c>
      <c r="AA140" s="996">
        <v>0</v>
      </c>
      <c r="AC140" s="996">
        <v>0</v>
      </c>
      <c r="AE140" s="996">
        <v>0</v>
      </c>
      <c r="AG140" s="996">
        <v>0</v>
      </c>
      <c r="AH140" s="1014"/>
      <c r="AI140" s="987">
        <v>0</v>
      </c>
      <c r="AK140" s="996">
        <v>0</v>
      </c>
      <c r="AM140" s="996">
        <v>0</v>
      </c>
      <c r="AO140" s="999">
        <v>30377.7901494</v>
      </c>
      <c r="AQ140" s="953"/>
      <c r="AS140" s="953">
        <v>-30377.7901494</v>
      </c>
    </row>
    <row r="141" spans="1:45" x14ac:dyDescent="0.25">
      <c r="A141" s="967" t="s">
        <v>1170</v>
      </c>
      <c r="B141" s="956"/>
      <c r="C141" s="956" t="s">
        <v>1171</v>
      </c>
      <c r="D141" s="954"/>
      <c r="E141" s="954"/>
      <c r="F141" s="953">
        <v>11876</v>
      </c>
      <c r="G141" s="930" t="s">
        <v>1074</v>
      </c>
      <c r="H141" s="897">
        <v>3.6058989272000002</v>
      </c>
      <c r="I141" s="979">
        <v>42823.655659427204</v>
      </c>
      <c r="K141" s="953">
        <v>16.578947368421051</v>
      </c>
      <c r="L141" s="930">
        <v>0.2036</v>
      </c>
      <c r="M141" s="994">
        <v>128.26799999999997</v>
      </c>
      <c r="O141" s="987">
        <v>0</v>
      </c>
      <c r="Q141" s="953">
        <v>5.5263157894736841</v>
      </c>
      <c r="R141" s="930">
        <v>1.7611399999999999</v>
      </c>
      <c r="S141" s="994">
        <v>369.83939999999996</v>
      </c>
      <c r="U141" s="953">
        <v>0</v>
      </c>
      <c r="V141" s="930">
        <v>0.2036</v>
      </c>
      <c r="W141" s="994">
        <v>0</v>
      </c>
      <c r="Y141" s="987">
        <v>0</v>
      </c>
      <c r="AA141" s="996">
        <v>0</v>
      </c>
      <c r="AC141" s="996">
        <v>0</v>
      </c>
      <c r="AE141" s="996">
        <v>0</v>
      </c>
      <c r="AG141" s="996">
        <v>0</v>
      </c>
      <c r="AH141" s="1014"/>
      <c r="AI141" s="987">
        <v>0</v>
      </c>
      <c r="AK141" s="996">
        <v>0</v>
      </c>
      <c r="AM141" s="996">
        <v>0</v>
      </c>
      <c r="AO141" s="999">
        <v>43321.763059427198</v>
      </c>
      <c r="AQ141" s="953"/>
      <c r="AS141" s="953">
        <v>-43321.763059427198</v>
      </c>
    </row>
    <row r="142" spans="1:45" x14ac:dyDescent="0.25">
      <c r="A142" s="925" t="s">
        <v>1172</v>
      </c>
      <c r="B142" s="926" t="s">
        <v>1173</v>
      </c>
      <c r="C142" s="926" t="s">
        <v>1174</v>
      </c>
      <c r="D142" s="954"/>
      <c r="E142" s="954"/>
      <c r="F142" s="953">
        <v>17376</v>
      </c>
      <c r="G142" s="930" t="s">
        <v>1086</v>
      </c>
      <c r="H142" s="897">
        <v>3.6058989272000002</v>
      </c>
      <c r="I142" s="979">
        <v>62656.099759027202</v>
      </c>
      <c r="K142" s="953">
        <v>101.05263157894736</v>
      </c>
      <c r="L142" s="930">
        <v>0.2036</v>
      </c>
      <c r="M142" s="994">
        <v>781.82399999999996</v>
      </c>
      <c r="O142" s="987">
        <v>0</v>
      </c>
      <c r="Q142" s="953">
        <v>9.473684210526315</v>
      </c>
      <c r="R142" s="930">
        <v>1.7611399999999999</v>
      </c>
      <c r="S142" s="994">
        <v>634.01039999999989</v>
      </c>
      <c r="U142" s="953">
        <v>0</v>
      </c>
      <c r="V142" s="930">
        <v>0.2036</v>
      </c>
      <c r="W142" s="994">
        <v>0</v>
      </c>
      <c r="Y142" s="987">
        <v>0</v>
      </c>
      <c r="AA142" s="996">
        <v>0</v>
      </c>
      <c r="AC142" s="996">
        <v>0</v>
      </c>
      <c r="AE142" s="996">
        <v>0</v>
      </c>
      <c r="AG142" s="996">
        <v>0</v>
      </c>
      <c r="AH142" s="1014"/>
      <c r="AI142" s="987">
        <v>0</v>
      </c>
      <c r="AK142" s="996">
        <v>0</v>
      </c>
      <c r="AM142" s="996">
        <v>0</v>
      </c>
      <c r="AO142" s="999">
        <v>64071.934159027202</v>
      </c>
      <c r="AQ142" s="953"/>
      <c r="AS142" s="953">
        <v>-64071.934159027202</v>
      </c>
    </row>
    <row r="143" spans="1:45" x14ac:dyDescent="0.25">
      <c r="A143" s="925" t="s">
        <v>1175</v>
      </c>
      <c r="B143" s="926" t="s">
        <v>1176</v>
      </c>
      <c r="C143" s="926">
        <v>509199</v>
      </c>
      <c r="D143" s="954"/>
      <c r="E143" s="954"/>
      <c r="F143" s="953">
        <v>9900</v>
      </c>
      <c r="G143" s="930" t="s">
        <v>1074</v>
      </c>
      <c r="H143" s="897">
        <v>3.6058989272000002</v>
      </c>
      <c r="I143" s="979">
        <v>35698.399379280003</v>
      </c>
      <c r="K143" s="953">
        <v>234.4736842105263</v>
      </c>
      <c r="L143" s="930">
        <v>0.2036</v>
      </c>
      <c r="M143" s="994">
        <v>1814.0759999999998</v>
      </c>
      <c r="O143" s="987">
        <v>0</v>
      </c>
      <c r="Q143" s="953">
        <v>9.473684210526315</v>
      </c>
      <c r="R143" s="930">
        <v>1.7611399999999999</v>
      </c>
      <c r="S143" s="994">
        <v>634.01039999999989</v>
      </c>
      <c r="U143" s="953">
        <v>48.94736842105263</v>
      </c>
      <c r="V143" s="930">
        <v>0.2036</v>
      </c>
      <c r="W143" s="994">
        <v>378.69600000000003</v>
      </c>
      <c r="Y143" s="987">
        <v>0</v>
      </c>
      <c r="AA143" s="996">
        <v>0</v>
      </c>
      <c r="AC143" s="996">
        <v>0</v>
      </c>
      <c r="AE143" s="996">
        <v>0</v>
      </c>
      <c r="AG143" s="996">
        <v>0</v>
      </c>
      <c r="AH143" s="1014"/>
      <c r="AI143" s="987">
        <v>0</v>
      </c>
      <c r="AK143" s="996">
        <v>0</v>
      </c>
      <c r="AM143" s="996">
        <v>0</v>
      </c>
      <c r="AO143" s="999">
        <v>38525.181779280007</v>
      </c>
      <c r="AQ143" s="953"/>
      <c r="AS143" s="953">
        <v>-38525.181779280007</v>
      </c>
    </row>
    <row r="144" spans="1:45" x14ac:dyDescent="0.25">
      <c r="A144" s="925" t="s">
        <v>1177</v>
      </c>
      <c r="B144" s="926" t="s">
        <v>1178</v>
      </c>
      <c r="C144" s="926">
        <v>509197</v>
      </c>
      <c r="D144" s="954"/>
      <c r="E144" s="954"/>
      <c r="F144" s="953">
        <v>15144</v>
      </c>
      <c r="G144" s="930" t="s">
        <v>1074</v>
      </c>
      <c r="H144" s="897">
        <v>3.6058989272000002</v>
      </c>
      <c r="I144" s="979">
        <v>54607.7333535168</v>
      </c>
      <c r="K144" s="953">
        <v>328.42105263157896</v>
      </c>
      <c r="L144" s="930">
        <v>0.2036</v>
      </c>
      <c r="M144" s="994">
        <v>2540.9279999999999</v>
      </c>
      <c r="O144" s="987">
        <v>0</v>
      </c>
      <c r="Q144" s="953">
        <v>0</v>
      </c>
      <c r="R144" s="930">
        <v>1.7611399999999999</v>
      </c>
      <c r="S144" s="994">
        <v>0</v>
      </c>
      <c r="U144" s="953">
        <v>47.368421052631582</v>
      </c>
      <c r="V144" s="930">
        <v>0.2036</v>
      </c>
      <c r="W144" s="994">
        <v>366.48</v>
      </c>
      <c r="Y144" s="987">
        <v>0</v>
      </c>
      <c r="AA144" s="996">
        <v>0</v>
      </c>
      <c r="AC144" s="996">
        <v>0</v>
      </c>
      <c r="AE144" s="996">
        <v>0</v>
      </c>
      <c r="AG144" s="996">
        <v>0</v>
      </c>
      <c r="AH144" s="1014"/>
      <c r="AI144" s="987">
        <v>0</v>
      </c>
      <c r="AK144" s="996">
        <v>0</v>
      </c>
      <c r="AM144" s="996">
        <v>0</v>
      </c>
      <c r="AO144" s="999">
        <v>57515.141353516803</v>
      </c>
      <c r="AQ144" s="953"/>
      <c r="AS144" s="953">
        <v>-57515.141353516803</v>
      </c>
    </row>
    <row r="145" spans="1:45" x14ac:dyDescent="0.25">
      <c r="A145" s="925" t="s">
        <v>1179</v>
      </c>
      <c r="B145" s="926" t="s">
        <v>1180</v>
      </c>
      <c r="C145" s="926" t="s">
        <v>1181</v>
      </c>
      <c r="D145" s="954"/>
      <c r="E145" s="954"/>
      <c r="F145" s="953">
        <v>14010</v>
      </c>
      <c r="G145" s="930" t="s">
        <v>1086</v>
      </c>
      <c r="H145" s="897">
        <v>3.6058989272000002</v>
      </c>
      <c r="I145" s="979">
        <v>50518.643970072</v>
      </c>
      <c r="K145" s="953">
        <v>0</v>
      </c>
      <c r="L145" s="930">
        <v>0.2036</v>
      </c>
      <c r="M145" s="994">
        <v>0</v>
      </c>
      <c r="O145" s="987">
        <v>0</v>
      </c>
      <c r="Q145" s="953">
        <v>0</v>
      </c>
      <c r="R145" s="930">
        <v>1.7611399999999999</v>
      </c>
      <c r="S145" s="994">
        <v>0</v>
      </c>
      <c r="U145" s="953">
        <v>17.05263157894737</v>
      </c>
      <c r="V145" s="930">
        <v>0.2036</v>
      </c>
      <c r="W145" s="994">
        <v>131.93280000000001</v>
      </c>
      <c r="Y145" s="987">
        <v>0</v>
      </c>
      <c r="AA145" s="996">
        <v>0</v>
      </c>
      <c r="AC145" s="996">
        <v>0</v>
      </c>
      <c r="AE145" s="996">
        <v>0</v>
      </c>
      <c r="AG145" s="996">
        <v>0</v>
      </c>
      <c r="AH145" s="1014"/>
      <c r="AI145" s="987">
        <v>0</v>
      </c>
      <c r="AK145" s="996">
        <v>0</v>
      </c>
      <c r="AM145" s="996">
        <v>0</v>
      </c>
      <c r="AO145" s="999">
        <v>50650.576770072003</v>
      </c>
      <c r="AQ145" s="953"/>
      <c r="AS145" s="953">
        <v>-50650.576770072003</v>
      </c>
    </row>
    <row r="146" spans="1:45" x14ac:dyDescent="0.25">
      <c r="A146" s="925" t="s">
        <v>1182</v>
      </c>
      <c r="B146" s="926" t="s">
        <v>1183</v>
      </c>
      <c r="C146" s="926">
        <v>206117</v>
      </c>
      <c r="D146" s="954"/>
      <c r="E146" s="954"/>
      <c r="F146" s="953">
        <v>18042</v>
      </c>
      <c r="G146" s="930" t="s">
        <v>1074</v>
      </c>
      <c r="H146" s="897">
        <v>3.6058989272000002</v>
      </c>
      <c r="I146" s="979">
        <v>65057.628444542403</v>
      </c>
      <c r="K146" s="953">
        <v>19.736842105263158</v>
      </c>
      <c r="L146" s="930">
        <v>0.2036</v>
      </c>
      <c r="M146" s="994">
        <v>152.70000000000002</v>
      </c>
      <c r="O146" s="987">
        <v>0</v>
      </c>
      <c r="Q146" s="953">
        <v>4.7368421052631575</v>
      </c>
      <c r="R146" s="930">
        <v>1.7611399999999999</v>
      </c>
      <c r="S146" s="994">
        <v>317.00519999999995</v>
      </c>
      <c r="U146" s="953">
        <v>9.473684210526315</v>
      </c>
      <c r="V146" s="930">
        <v>0.2036</v>
      </c>
      <c r="W146" s="994">
        <v>73.295999999999992</v>
      </c>
      <c r="Y146" s="987">
        <v>0</v>
      </c>
      <c r="AA146" s="996">
        <v>0</v>
      </c>
      <c r="AC146" s="996">
        <v>0</v>
      </c>
      <c r="AE146" s="996">
        <v>0</v>
      </c>
      <c r="AG146" s="996">
        <v>0</v>
      </c>
      <c r="AH146" s="1014"/>
      <c r="AI146" s="987">
        <v>0</v>
      </c>
      <c r="AK146" s="996">
        <v>0</v>
      </c>
      <c r="AM146" s="996">
        <v>0</v>
      </c>
      <c r="AO146" s="999">
        <v>65600.629644542394</v>
      </c>
      <c r="AQ146" s="953"/>
      <c r="AS146" s="953">
        <v>-65600.629644542394</v>
      </c>
    </row>
    <row r="147" spans="1:45" x14ac:dyDescent="0.25">
      <c r="A147" s="925" t="s">
        <v>1184</v>
      </c>
      <c r="B147" s="926" t="s">
        <v>1185</v>
      </c>
      <c r="C147" s="926">
        <v>206141</v>
      </c>
      <c r="D147" s="954"/>
      <c r="E147" s="954"/>
      <c r="F147" s="953">
        <v>14370</v>
      </c>
      <c r="G147" s="930" t="s">
        <v>1086</v>
      </c>
      <c r="H147" s="897">
        <v>3.6058989272000002</v>
      </c>
      <c r="I147" s="979">
        <v>51816.767583863999</v>
      </c>
      <c r="K147" s="953">
        <v>28.578947368421055</v>
      </c>
      <c r="L147" s="930">
        <v>0.2036</v>
      </c>
      <c r="M147" s="994">
        <v>221.10960000000003</v>
      </c>
      <c r="O147" s="987">
        <v>0</v>
      </c>
      <c r="Q147" s="953">
        <v>0</v>
      </c>
      <c r="R147" s="930">
        <v>1.7611399999999999</v>
      </c>
      <c r="S147" s="994">
        <v>0</v>
      </c>
      <c r="U147" s="953">
        <v>4.4210526315789478</v>
      </c>
      <c r="V147" s="930">
        <v>0.2036</v>
      </c>
      <c r="W147" s="994">
        <v>34.204800000000006</v>
      </c>
      <c r="Y147" s="987">
        <v>0</v>
      </c>
      <c r="AA147" s="996">
        <v>0</v>
      </c>
      <c r="AC147" s="996">
        <v>0</v>
      </c>
      <c r="AE147" s="996">
        <v>0</v>
      </c>
      <c r="AG147" s="996">
        <v>0</v>
      </c>
      <c r="AH147" s="1014"/>
      <c r="AI147" s="987">
        <v>0</v>
      </c>
      <c r="AK147" s="996">
        <v>0</v>
      </c>
      <c r="AM147" s="996">
        <v>0</v>
      </c>
      <c r="AO147" s="999">
        <v>52072.081983864002</v>
      </c>
      <c r="AQ147" s="953"/>
      <c r="AS147" s="953">
        <v>-52072.081983864002</v>
      </c>
    </row>
    <row r="148" spans="1:45" x14ac:dyDescent="0.25">
      <c r="A148" s="925" t="s">
        <v>1186</v>
      </c>
      <c r="B148" s="926" t="s">
        <v>1187</v>
      </c>
      <c r="C148" s="926" t="s">
        <v>1188</v>
      </c>
      <c r="D148" s="954"/>
      <c r="E148" s="954"/>
      <c r="F148" s="953">
        <v>15750</v>
      </c>
      <c r="G148" s="930" t="s">
        <v>1074</v>
      </c>
      <c r="H148" s="897">
        <v>3.6058989272000002</v>
      </c>
      <c r="I148" s="979">
        <v>56792.908103400005</v>
      </c>
      <c r="K148" s="953">
        <v>86.68421052631578</v>
      </c>
      <c r="L148" s="930">
        <v>0.2036</v>
      </c>
      <c r="M148" s="994">
        <v>670.65839999999992</v>
      </c>
      <c r="O148" s="987">
        <v>0</v>
      </c>
      <c r="Q148" s="953">
        <v>0</v>
      </c>
      <c r="R148" s="930">
        <v>1.7611399999999999</v>
      </c>
      <c r="S148" s="994">
        <v>0</v>
      </c>
      <c r="U148" s="953">
        <v>4.7368421052631575</v>
      </c>
      <c r="V148" s="930">
        <v>0.2036</v>
      </c>
      <c r="W148" s="994">
        <v>36.647999999999996</v>
      </c>
      <c r="Y148" s="987">
        <v>0</v>
      </c>
      <c r="AA148" s="996">
        <v>0</v>
      </c>
      <c r="AC148" s="996">
        <v>0</v>
      </c>
      <c r="AE148" s="996">
        <v>0</v>
      </c>
      <c r="AG148" s="996">
        <v>0</v>
      </c>
      <c r="AH148" s="1014"/>
      <c r="AI148" s="987">
        <v>0</v>
      </c>
      <c r="AK148" s="996">
        <v>0</v>
      </c>
      <c r="AM148" s="996">
        <v>0</v>
      </c>
      <c r="AO148" s="999">
        <v>57500.214503400006</v>
      </c>
      <c r="AQ148" s="953"/>
      <c r="AS148" s="953">
        <v>-57500.214503400006</v>
      </c>
    </row>
    <row r="149" spans="1:45" x14ac:dyDescent="0.25">
      <c r="A149" s="925" t="s">
        <v>1189</v>
      </c>
      <c r="B149" s="926" t="s">
        <v>1190</v>
      </c>
      <c r="C149" s="926">
        <v>258404</v>
      </c>
      <c r="D149" s="954"/>
      <c r="E149" s="954"/>
      <c r="F149" s="953">
        <v>19584</v>
      </c>
      <c r="G149" s="930" t="s">
        <v>1074</v>
      </c>
      <c r="H149" s="897">
        <v>3.6058989272000002</v>
      </c>
      <c r="I149" s="979">
        <v>70617.924590284805</v>
      </c>
      <c r="K149" s="953">
        <v>711.78947368421063</v>
      </c>
      <c r="L149" s="930">
        <v>0.2036</v>
      </c>
      <c r="M149" s="994">
        <v>5506.9728000000005</v>
      </c>
      <c r="O149" s="987">
        <v>0</v>
      </c>
      <c r="Q149" s="953">
        <v>29.210526315789473</v>
      </c>
      <c r="R149" s="930">
        <v>1.7611399999999999</v>
      </c>
      <c r="S149" s="994">
        <v>1954.8653999999999</v>
      </c>
      <c r="U149" s="953">
        <v>40.421052631578945</v>
      </c>
      <c r="V149" s="930">
        <v>0.2036</v>
      </c>
      <c r="W149" s="994">
        <v>312.7296</v>
      </c>
      <c r="Y149" s="987">
        <v>0</v>
      </c>
      <c r="AA149" s="996">
        <v>0</v>
      </c>
      <c r="AC149" s="996">
        <v>0</v>
      </c>
      <c r="AE149" s="996">
        <v>0</v>
      </c>
      <c r="AG149" s="996">
        <v>0</v>
      </c>
      <c r="AH149" s="1014"/>
      <c r="AI149" s="987">
        <v>0</v>
      </c>
      <c r="AK149" s="996">
        <v>0</v>
      </c>
      <c r="AM149" s="996">
        <v>0</v>
      </c>
      <c r="AO149" s="999">
        <v>78392.49239028481</v>
      </c>
      <c r="AQ149" s="953"/>
      <c r="AS149" s="953">
        <v>-78392.49239028481</v>
      </c>
    </row>
    <row r="150" spans="1:45" x14ac:dyDescent="0.25">
      <c r="A150" s="925" t="s">
        <v>1191</v>
      </c>
      <c r="B150" s="926" t="s">
        <v>1192</v>
      </c>
      <c r="C150" s="926">
        <v>258405</v>
      </c>
      <c r="D150" s="954"/>
      <c r="E150" s="954"/>
      <c r="F150" s="953">
        <v>18736</v>
      </c>
      <c r="G150" s="930" t="s">
        <v>1074</v>
      </c>
      <c r="H150" s="897">
        <v>3.6058989272000002</v>
      </c>
      <c r="I150" s="979">
        <v>67560.122300019197</v>
      </c>
      <c r="K150" s="953">
        <v>245.5263157894737</v>
      </c>
      <c r="L150" s="930">
        <v>0.2036</v>
      </c>
      <c r="M150" s="994">
        <v>1899.5880000000002</v>
      </c>
      <c r="O150" s="987">
        <v>0</v>
      </c>
      <c r="Q150" s="953">
        <v>33.94736842105263</v>
      </c>
      <c r="R150" s="930">
        <v>1.7611399999999999</v>
      </c>
      <c r="S150" s="994">
        <v>2271.8705999999997</v>
      </c>
      <c r="U150" s="953">
        <v>15</v>
      </c>
      <c r="V150" s="930">
        <v>0.2036</v>
      </c>
      <c r="W150" s="994">
        <v>116.05200000000001</v>
      </c>
      <c r="Y150" s="987">
        <v>0</v>
      </c>
      <c r="AA150" s="996">
        <v>0</v>
      </c>
      <c r="AC150" s="996">
        <v>0</v>
      </c>
      <c r="AE150" s="996">
        <v>0</v>
      </c>
      <c r="AG150" s="996">
        <v>0</v>
      </c>
      <c r="AH150" s="1014"/>
      <c r="AI150" s="987">
        <v>0</v>
      </c>
      <c r="AK150" s="996">
        <v>0</v>
      </c>
      <c r="AM150" s="996">
        <v>0</v>
      </c>
      <c r="AO150" s="999">
        <v>71847.632900019191</v>
      </c>
      <c r="AQ150" s="953"/>
      <c r="AS150" s="953">
        <v>-71847.632900019191</v>
      </c>
    </row>
    <row r="151" spans="1:45" x14ac:dyDescent="0.25">
      <c r="A151" s="925" t="s">
        <v>1193</v>
      </c>
      <c r="B151" s="926" t="s">
        <v>1194</v>
      </c>
      <c r="C151" s="926">
        <v>258406</v>
      </c>
      <c r="D151" s="954"/>
      <c r="E151" s="954"/>
      <c r="F151" s="953">
        <v>25074</v>
      </c>
      <c r="G151" s="930" t="s">
        <v>1074</v>
      </c>
      <c r="H151" s="897">
        <v>3.6058989272000002</v>
      </c>
      <c r="I151" s="979">
        <v>90414.309700612808</v>
      </c>
      <c r="K151" s="953">
        <v>162.5263157894737</v>
      </c>
      <c r="L151" s="930">
        <v>0.2036</v>
      </c>
      <c r="M151" s="994">
        <v>1257.4336000000003</v>
      </c>
      <c r="O151" s="987">
        <v>0</v>
      </c>
      <c r="Q151" s="953">
        <v>18</v>
      </c>
      <c r="R151" s="930">
        <v>1.7611399999999999</v>
      </c>
      <c r="S151" s="994">
        <v>1204.6197599999998</v>
      </c>
      <c r="U151" s="953">
        <v>11.052631578947368</v>
      </c>
      <c r="V151" s="930">
        <v>0.2036</v>
      </c>
      <c r="W151" s="994">
        <v>85.512</v>
      </c>
      <c r="Y151" s="987">
        <v>0</v>
      </c>
      <c r="AA151" s="996">
        <v>0</v>
      </c>
      <c r="AC151" s="996">
        <v>0</v>
      </c>
      <c r="AE151" s="996">
        <v>0</v>
      </c>
      <c r="AG151" s="996">
        <v>0</v>
      </c>
      <c r="AH151" s="1014"/>
      <c r="AI151" s="987">
        <v>0</v>
      </c>
      <c r="AK151" s="996">
        <v>0</v>
      </c>
      <c r="AM151" s="996">
        <v>0</v>
      </c>
      <c r="AO151" s="999">
        <v>92961.875060612816</v>
      </c>
      <c r="AQ151" s="953"/>
      <c r="AS151" s="953">
        <v>-92961.875060612816</v>
      </c>
    </row>
    <row r="152" spans="1:45" x14ac:dyDescent="0.25">
      <c r="A152" s="925" t="s">
        <v>1195</v>
      </c>
      <c r="B152" s="926" t="s">
        <v>1196</v>
      </c>
      <c r="C152" s="926">
        <v>206160</v>
      </c>
      <c r="D152" s="954"/>
      <c r="E152" s="954"/>
      <c r="F152" s="953">
        <v>4350</v>
      </c>
      <c r="G152" s="930" t="s">
        <v>1086</v>
      </c>
      <c r="H152" s="897">
        <v>3.6058989272000002</v>
      </c>
      <c r="I152" s="979">
        <v>15685.66033332</v>
      </c>
      <c r="K152" s="953">
        <v>84</v>
      </c>
      <c r="L152" s="930">
        <v>0.2036</v>
      </c>
      <c r="M152" s="994">
        <v>649.89120000000003</v>
      </c>
      <c r="O152" s="987">
        <v>0</v>
      </c>
      <c r="Q152" s="953">
        <v>0</v>
      </c>
      <c r="R152" s="930">
        <v>1.7611399999999999</v>
      </c>
      <c r="S152" s="994">
        <v>0</v>
      </c>
      <c r="U152" s="953">
        <v>0</v>
      </c>
      <c r="V152" s="930">
        <v>0.2036</v>
      </c>
      <c r="W152" s="994">
        <v>0</v>
      </c>
      <c r="Y152" s="987">
        <v>0</v>
      </c>
      <c r="AA152" s="996">
        <v>0</v>
      </c>
      <c r="AC152" s="996">
        <v>0</v>
      </c>
      <c r="AE152" s="996">
        <v>0</v>
      </c>
      <c r="AG152" s="996">
        <v>0</v>
      </c>
      <c r="AH152" s="1014"/>
      <c r="AI152" s="987">
        <v>0</v>
      </c>
      <c r="AK152" s="996">
        <v>0</v>
      </c>
      <c r="AM152" s="996">
        <v>0</v>
      </c>
      <c r="AO152" s="999">
        <v>16335.55153332</v>
      </c>
      <c r="AQ152" s="953"/>
      <c r="AS152" s="953">
        <v>-16335.55153332</v>
      </c>
    </row>
    <row r="153" spans="1:45" x14ac:dyDescent="0.25">
      <c r="A153" s="925" t="s">
        <v>1197</v>
      </c>
      <c r="B153" s="926" t="s">
        <v>1198</v>
      </c>
      <c r="C153" s="926" t="s">
        <v>1199</v>
      </c>
      <c r="D153" s="954"/>
      <c r="E153" s="954"/>
      <c r="F153" s="953">
        <v>24138</v>
      </c>
      <c r="G153" s="930" t="s">
        <v>1074</v>
      </c>
      <c r="H153" s="897">
        <v>3.6058989272000002</v>
      </c>
      <c r="I153" s="979">
        <v>87039.18830475361</v>
      </c>
      <c r="K153" s="953">
        <v>1005.9473684210526</v>
      </c>
      <c r="L153" s="930">
        <v>0.2036</v>
      </c>
      <c r="M153" s="994">
        <v>7782.8136000000004</v>
      </c>
      <c r="O153" s="987">
        <v>0</v>
      </c>
      <c r="Q153" s="953">
        <v>0</v>
      </c>
      <c r="R153" s="930">
        <v>1.7611399999999999</v>
      </c>
      <c r="S153" s="994">
        <v>0</v>
      </c>
      <c r="U153" s="953">
        <v>320.5263157894737</v>
      </c>
      <c r="V153" s="930">
        <v>0.2036</v>
      </c>
      <c r="W153" s="994">
        <v>2479.848</v>
      </c>
      <c r="Y153" s="987">
        <v>0</v>
      </c>
      <c r="AA153" s="996">
        <v>0</v>
      </c>
      <c r="AC153" s="996">
        <v>0</v>
      </c>
      <c r="AE153" s="996">
        <v>0</v>
      </c>
      <c r="AG153" s="996">
        <v>0</v>
      </c>
      <c r="AH153" s="1014"/>
      <c r="AI153" s="987">
        <v>0</v>
      </c>
      <c r="AK153" s="996">
        <v>0</v>
      </c>
      <c r="AM153" s="996">
        <v>0</v>
      </c>
      <c r="AO153" s="999">
        <v>97301.849904753602</v>
      </c>
      <c r="AQ153" s="953"/>
      <c r="AS153" s="953">
        <v>-97301.849904753602</v>
      </c>
    </row>
    <row r="154" spans="1:45" x14ac:dyDescent="0.25">
      <c r="A154" s="888" t="s">
        <v>1200</v>
      </c>
      <c r="B154" s="957"/>
      <c r="C154" s="889" t="s">
        <v>1201</v>
      </c>
      <c r="D154" s="954"/>
      <c r="E154" s="954"/>
      <c r="F154" s="953">
        <v>10500</v>
      </c>
      <c r="G154" s="930" t="s">
        <v>1074</v>
      </c>
      <c r="H154" s="897">
        <v>3.6058989272000002</v>
      </c>
      <c r="I154" s="979">
        <v>37861.938735600001</v>
      </c>
      <c r="K154" s="953">
        <v>668.68421052631584</v>
      </c>
      <c r="L154" s="930">
        <v>0.2036</v>
      </c>
      <c r="M154" s="994">
        <v>5173.4760000000006</v>
      </c>
      <c r="O154" s="987">
        <v>0</v>
      </c>
      <c r="Q154" s="953">
        <v>5.5263157894736841</v>
      </c>
      <c r="R154" s="930">
        <v>1.7611399999999999</v>
      </c>
      <c r="S154" s="994">
        <v>369.83939999999996</v>
      </c>
      <c r="U154" s="953">
        <v>118.42105263157895</v>
      </c>
      <c r="V154" s="930">
        <v>0.2036</v>
      </c>
      <c r="W154" s="994">
        <v>916.2</v>
      </c>
      <c r="Y154" s="987">
        <v>0</v>
      </c>
      <c r="AA154" s="996">
        <v>0</v>
      </c>
      <c r="AC154" s="996">
        <v>0</v>
      </c>
      <c r="AE154" s="996">
        <v>0</v>
      </c>
      <c r="AG154" s="996">
        <v>0</v>
      </c>
      <c r="AH154" s="1014"/>
      <c r="AI154" s="987">
        <v>0</v>
      </c>
      <c r="AK154" s="996">
        <v>0</v>
      </c>
      <c r="AM154" s="996">
        <v>0</v>
      </c>
      <c r="AO154" s="999">
        <v>44321.454135599997</v>
      </c>
      <c r="AQ154" s="953"/>
      <c r="AS154" s="953">
        <v>-44321.454135599997</v>
      </c>
    </row>
    <row r="155" spans="1:45" x14ac:dyDescent="0.25">
      <c r="A155" s="925" t="s">
        <v>1202</v>
      </c>
      <c r="B155" s="926" t="s">
        <v>1203</v>
      </c>
      <c r="C155" s="926" t="s">
        <v>1204</v>
      </c>
      <c r="D155" s="954"/>
      <c r="E155" s="954"/>
      <c r="F155" s="953">
        <v>6078</v>
      </c>
      <c r="G155" s="930" t="s">
        <v>1074</v>
      </c>
      <c r="H155" s="897">
        <v>3.6058989272000002</v>
      </c>
      <c r="I155" s="979">
        <v>21916.653679521602</v>
      </c>
      <c r="K155" s="953">
        <v>125.84210526315789</v>
      </c>
      <c r="L155" s="930">
        <v>0.2036</v>
      </c>
      <c r="M155" s="994">
        <v>973.61519999999996</v>
      </c>
      <c r="O155" s="987">
        <v>0</v>
      </c>
      <c r="Q155" s="953">
        <v>0</v>
      </c>
      <c r="R155" s="930">
        <v>1.7611399999999999</v>
      </c>
      <c r="S155" s="994">
        <v>0</v>
      </c>
      <c r="U155" s="953">
        <v>9.3157894736842106</v>
      </c>
      <c r="V155" s="930">
        <v>0.2036</v>
      </c>
      <c r="W155" s="994">
        <v>72.074399999999997</v>
      </c>
      <c r="Y155" s="987">
        <v>0</v>
      </c>
      <c r="AA155" s="996">
        <v>0</v>
      </c>
      <c r="AC155" s="996">
        <v>0</v>
      </c>
      <c r="AE155" s="996">
        <v>0</v>
      </c>
      <c r="AG155" s="996">
        <v>0</v>
      </c>
      <c r="AH155" s="1014"/>
      <c r="AI155" s="987">
        <v>0</v>
      </c>
      <c r="AK155" s="996">
        <v>0</v>
      </c>
      <c r="AM155" s="996">
        <v>0</v>
      </c>
      <c r="AO155" s="999">
        <v>22962.343279521603</v>
      </c>
      <c r="AQ155" s="953"/>
      <c r="AS155" s="953">
        <v>-22962.343279521603</v>
      </c>
    </row>
    <row r="156" spans="1:45" x14ac:dyDescent="0.25">
      <c r="A156" s="925" t="s">
        <v>1205</v>
      </c>
      <c r="B156" s="926" t="s">
        <v>1206</v>
      </c>
      <c r="C156" s="926">
        <v>206146</v>
      </c>
      <c r="D156" s="954"/>
      <c r="E156" s="954"/>
      <c r="F156" s="953">
        <v>24438</v>
      </c>
      <c r="G156" s="930" t="s">
        <v>1086</v>
      </c>
      <c r="H156" s="897">
        <v>3.6058989272000002</v>
      </c>
      <c r="I156" s="979">
        <v>88120.957982913606</v>
      </c>
      <c r="K156" s="953">
        <v>200.84210526315789</v>
      </c>
      <c r="L156" s="930">
        <v>0.2036</v>
      </c>
      <c r="M156" s="994">
        <v>1553.8752000000002</v>
      </c>
      <c r="O156" s="987">
        <v>0</v>
      </c>
      <c r="Q156" s="953">
        <v>0</v>
      </c>
      <c r="R156" s="930">
        <v>1.7611399999999999</v>
      </c>
      <c r="S156" s="994">
        <v>0</v>
      </c>
      <c r="U156" s="953">
        <v>37.736842105263158</v>
      </c>
      <c r="V156" s="930">
        <v>0.2036</v>
      </c>
      <c r="W156" s="994">
        <v>291.9624</v>
      </c>
      <c r="Y156" s="987">
        <v>0</v>
      </c>
      <c r="AA156" s="996">
        <v>0</v>
      </c>
      <c r="AC156" s="996">
        <v>0</v>
      </c>
      <c r="AE156" s="996">
        <v>0</v>
      </c>
      <c r="AG156" s="996">
        <v>0</v>
      </c>
      <c r="AH156" s="1014"/>
      <c r="AI156" s="987">
        <v>0</v>
      </c>
      <c r="AK156" s="996">
        <v>0</v>
      </c>
      <c r="AM156" s="996">
        <v>0</v>
      </c>
      <c r="AO156" s="999">
        <v>89966.795582913604</v>
      </c>
      <c r="AQ156" s="953"/>
      <c r="AS156" s="953">
        <v>-89966.795582913604</v>
      </c>
    </row>
    <row r="157" spans="1:45" x14ac:dyDescent="0.25">
      <c r="A157" s="888" t="s">
        <v>1207</v>
      </c>
      <c r="B157" s="957"/>
      <c r="C157" s="970" t="s">
        <v>1208</v>
      </c>
      <c r="D157" s="954"/>
      <c r="E157" s="954"/>
      <c r="F157" s="953">
        <v>6960</v>
      </c>
      <c r="G157" s="930" t="s">
        <v>1074</v>
      </c>
      <c r="H157" s="897">
        <v>3.6058989272000002</v>
      </c>
      <c r="I157" s="979">
        <v>25097.056533311999</v>
      </c>
      <c r="K157" s="953">
        <v>285</v>
      </c>
      <c r="L157" s="930">
        <v>0.2036</v>
      </c>
      <c r="M157" s="994">
        <v>2204.9880000000003</v>
      </c>
      <c r="O157" s="987">
        <v>0</v>
      </c>
      <c r="Q157" s="953">
        <v>5.5263157894736841</v>
      </c>
      <c r="R157" s="930">
        <v>1.7611399999999999</v>
      </c>
      <c r="S157" s="994">
        <v>369.83939999999996</v>
      </c>
      <c r="U157" s="953">
        <v>38.684210526315788</v>
      </c>
      <c r="V157" s="930">
        <v>0.2036</v>
      </c>
      <c r="W157" s="994">
        <v>299.29199999999997</v>
      </c>
      <c r="Y157" s="987">
        <v>0</v>
      </c>
      <c r="AA157" s="996">
        <v>0</v>
      </c>
      <c r="AC157" s="996">
        <v>0</v>
      </c>
      <c r="AE157" s="996">
        <v>0</v>
      </c>
      <c r="AG157" s="996">
        <v>0</v>
      </c>
      <c r="AH157" s="1014"/>
      <c r="AI157" s="987">
        <v>0</v>
      </c>
      <c r="AK157" s="996">
        <v>0</v>
      </c>
      <c r="AM157" s="996">
        <v>0</v>
      </c>
      <c r="AO157" s="999">
        <v>27971.175933312003</v>
      </c>
      <c r="AQ157" s="953"/>
      <c r="AS157" s="953">
        <v>-27971.175933312003</v>
      </c>
    </row>
    <row r="158" spans="1:45" x14ac:dyDescent="0.25">
      <c r="A158" s="925" t="s">
        <v>1209</v>
      </c>
      <c r="B158" s="926" t="s">
        <v>1210</v>
      </c>
      <c r="C158" s="926" t="s">
        <v>1211</v>
      </c>
      <c r="D158" s="954"/>
      <c r="E158" s="954"/>
      <c r="F158" s="953">
        <v>14196</v>
      </c>
      <c r="G158" s="930" t="s">
        <v>1074</v>
      </c>
      <c r="H158" s="897">
        <v>3.6058989272000002</v>
      </c>
      <c r="I158" s="979">
        <v>51189.341170531203</v>
      </c>
      <c r="K158" s="953">
        <v>705.78947368421063</v>
      </c>
      <c r="L158" s="930">
        <v>0.2036</v>
      </c>
      <c r="M158" s="994">
        <v>5460.5520000000015</v>
      </c>
      <c r="O158" s="987">
        <v>0</v>
      </c>
      <c r="Q158" s="953">
        <v>9.473684210526315</v>
      </c>
      <c r="R158" s="930">
        <v>1.7611399999999999</v>
      </c>
      <c r="S158" s="994">
        <v>634.01039999999989</v>
      </c>
      <c r="U158" s="953">
        <v>54.473684210526315</v>
      </c>
      <c r="V158" s="930">
        <v>0.2036</v>
      </c>
      <c r="W158" s="994">
        <v>421.452</v>
      </c>
      <c r="Y158" s="987">
        <v>0</v>
      </c>
      <c r="AA158" s="996">
        <v>0</v>
      </c>
      <c r="AC158" s="996">
        <v>0</v>
      </c>
      <c r="AE158" s="996">
        <v>0</v>
      </c>
      <c r="AG158" s="996">
        <v>0</v>
      </c>
      <c r="AH158" s="1014"/>
      <c r="AI158" s="987">
        <v>0</v>
      </c>
      <c r="AK158" s="996">
        <v>0</v>
      </c>
      <c r="AM158" s="996">
        <v>0</v>
      </c>
      <c r="AO158" s="999">
        <v>57705.355570531203</v>
      </c>
      <c r="AQ158" s="953"/>
      <c r="AS158" s="953">
        <v>-57705.355570531203</v>
      </c>
    </row>
    <row r="159" spans="1:45" x14ac:dyDescent="0.25">
      <c r="A159" s="925" t="s">
        <v>1212</v>
      </c>
      <c r="B159" s="926" t="s">
        <v>1213</v>
      </c>
      <c r="C159" s="926" t="s">
        <v>1214</v>
      </c>
      <c r="D159" s="954"/>
      <c r="E159" s="954"/>
      <c r="F159" s="953">
        <v>14000</v>
      </c>
      <c r="G159" s="930" t="s">
        <v>1074</v>
      </c>
      <c r="H159" s="897">
        <v>3.6058989272000002</v>
      </c>
      <c r="I159" s="979">
        <v>50482.584980800006</v>
      </c>
      <c r="K159" s="953">
        <v>302.21052631578948</v>
      </c>
      <c r="L159" s="930">
        <v>0.2036</v>
      </c>
      <c r="M159" s="994">
        <v>2338.1424000000002</v>
      </c>
      <c r="O159" s="987">
        <v>0</v>
      </c>
      <c r="Q159" s="953">
        <v>4.7368421052631575</v>
      </c>
      <c r="R159" s="930">
        <v>1.7611399999999999</v>
      </c>
      <c r="S159" s="994">
        <v>317.00519999999995</v>
      </c>
      <c r="U159" s="953">
        <v>4.7368421052631575</v>
      </c>
      <c r="V159" s="930">
        <v>0.2036</v>
      </c>
      <c r="W159" s="994">
        <v>36.647999999999996</v>
      </c>
      <c r="Y159" s="987">
        <v>0</v>
      </c>
      <c r="AA159" s="996">
        <v>0</v>
      </c>
      <c r="AC159" s="996">
        <v>0</v>
      </c>
      <c r="AE159" s="996">
        <v>0</v>
      </c>
      <c r="AG159" s="996">
        <v>0</v>
      </c>
      <c r="AH159" s="1014"/>
      <c r="AI159" s="987">
        <v>0</v>
      </c>
      <c r="AK159" s="996">
        <v>0</v>
      </c>
      <c r="AM159" s="996">
        <v>0</v>
      </c>
      <c r="AO159" s="999">
        <v>53174.380580800003</v>
      </c>
      <c r="AQ159" s="953"/>
      <c r="AS159" s="953">
        <v>-53174.380580800003</v>
      </c>
    </row>
    <row r="160" spans="1:45" x14ac:dyDescent="0.25">
      <c r="A160" s="888" t="s">
        <v>1215</v>
      </c>
      <c r="B160" s="957"/>
      <c r="C160" s="970" t="s">
        <v>1216</v>
      </c>
      <c r="D160" s="954"/>
      <c r="E160" s="954"/>
      <c r="F160" s="953">
        <v>21900</v>
      </c>
      <c r="G160" s="930" t="s">
        <v>1074</v>
      </c>
      <c r="H160" s="897">
        <v>3.6058989272000002</v>
      </c>
      <c r="I160" s="979">
        <v>78969.186505680002</v>
      </c>
      <c r="K160" s="953">
        <v>1539.4736842105262</v>
      </c>
      <c r="L160" s="930">
        <v>0.2036</v>
      </c>
      <c r="M160" s="994">
        <v>11910.6</v>
      </c>
      <c r="O160" s="987">
        <v>0</v>
      </c>
      <c r="Q160" s="953">
        <v>39.473684210526315</v>
      </c>
      <c r="R160" s="930">
        <v>1.7611399999999999</v>
      </c>
      <c r="S160" s="994">
        <v>2641.71</v>
      </c>
      <c r="U160" s="953">
        <v>226.57894736842104</v>
      </c>
      <c r="V160" s="930">
        <v>0.2036</v>
      </c>
      <c r="W160" s="994">
        <v>1752.9960000000001</v>
      </c>
      <c r="Y160" s="987">
        <v>0</v>
      </c>
      <c r="AA160" s="996">
        <v>0</v>
      </c>
      <c r="AC160" s="996">
        <v>0</v>
      </c>
      <c r="AE160" s="996">
        <v>0</v>
      </c>
      <c r="AG160" s="996">
        <v>0</v>
      </c>
      <c r="AH160" s="1014"/>
      <c r="AI160" s="987">
        <v>0</v>
      </c>
      <c r="AK160" s="996">
        <v>0</v>
      </c>
      <c r="AM160" s="996">
        <v>0</v>
      </c>
      <c r="AO160" s="999">
        <v>95274.492505680013</v>
      </c>
      <c r="AQ160" s="953"/>
      <c r="AS160" s="953">
        <v>-95274.492505680013</v>
      </c>
    </row>
    <row r="161" spans="1:45" x14ac:dyDescent="0.25">
      <c r="A161" s="925" t="s">
        <v>1217</v>
      </c>
      <c r="B161" s="926" t="s">
        <v>1218</v>
      </c>
      <c r="C161" s="926">
        <v>113044</v>
      </c>
      <c r="D161" s="954"/>
      <c r="E161" s="954"/>
      <c r="F161" s="953">
        <v>9310</v>
      </c>
      <c r="G161" s="930" t="s">
        <v>1086</v>
      </c>
      <c r="H161" s="897">
        <v>3.6058989272000002</v>
      </c>
      <c r="I161" s="979">
        <v>33570.919012232</v>
      </c>
      <c r="K161" s="953">
        <v>91.578947368421041</v>
      </c>
      <c r="L161" s="930">
        <v>0.2036</v>
      </c>
      <c r="M161" s="994">
        <v>708.52800000000002</v>
      </c>
      <c r="O161" s="987">
        <v>0</v>
      </c>
      <c r="Q161" s="953">
        <v>0</v>
      </c>
      <c r="R161" s="930">
        <v>1.7611399999999999</v>
      </c>
      <c r="S161" s="994">
        <v>0</v>
      </c>
      <c r="U161" s="953">
        <v>89.526315789473685</v>
      </c>
      <c r="V161" s="930">
        <v>0.2036</v>
      </c>
      <c r="W161" s="994">
        <v>692.64720000000011</v>
      </c>
      <c r="Y161" s="987">
        <v>0</v>
      </c>
      <c r="AA161" s="996">
        <v>0</v>
      </c>
      <c r="AC161" s="996">
        <v>0</v>
      </c>
      <c r="AE161" s="996">
        <v>0</v>
      </c>
      <c r="AG161" s="996">
        <v>0</v>
      </c>
      <c r="AH161" s="1014"/>
      <c r="AI161" s="987">
        <v>0</v>
      </c>
      <c r="AK161" s="996">
        <v>0</v>
      </c>
      <c r="AM161" s="996">
        <v>0</v>
      </c>
      <c r="AO161" s="999">
        <v>34972.094212231998</v>
      </c>
      <c r="AQ161" s="953"/>
      <c r="AS161" s="953">
        <v>-34972.094212231998</v>
      </c>
    </row>
    <row r="162" spans="1:45" x14ac:dyDescent="0.25">
      <c r="A162" s="925" t="s">
        <v>1219</v>
      </c>
      <c r="B162" s="926" t="s">
        <v>1220</v>
      </c>
      <c r="C162" s="926" t="s">
        <v>1221</v>
      </c>
      <c r="D162" s="954"/>
      <c r="E162" s="954"/>
      <c r="F162" s="953">
        <v>14730</v>
      </c>
      <c r="G162" s="930" t="s">
        <v>1074</v>
      </c>
      <c r="H162" s="897">
        <v>3.6058989272000002</v>
      </c>
      <c r="I162" s="979">
        <v>53114.891197656005</v>
      </c>
      <c r="K162" s="953">
        <v>371.21052631578948</v>
      </c>
      <c r="L162" s="930">
        <v>0.2036</v>
      </c>
      <c r="M162" s="994">
        <v>2871.9816000000005</v>
      </c>
      <c r="O162" s="987">
        <v>0</v>
      </c>
      <c r="Q162" s="953">
        <v>9.473684210526315</v>
      </c>
      <c r="R162" s="930">
        <v>1.7611399999999999</v>
      </c>
      <c r="S162" s="994">
        <v>634.01039999999989</v>
      </c>
      <c r="U162" s="953">
        <v>9.473684210526315</v>
      </c>
      <c r="V162" s="930">
        <v>0.2036</v>
      </c>
      <c r="W162" s="994">
        <v>73.295999999999992</v>
      </c>
      <c r="Y162" s="987">
        <v>0</v>
      </c>
      <c r="AA162" s="996">
        <v>0</v>
      </c>
      <c r="AC162" s="996">
        <v>0</v>
      </c>
      <c r="AE162" s="996">
        <v>0</v>
      </c>
      <c r="AG162" s="996">
        <v>0</v>
      </c>
      <c r="AH162" s="1014"/>
      <c r="AI162" s="987">
        <v>0</v>
      </c>
      <c r="AK162" s="996">
        <v>0</v>
      </c>
      <c r="AM162" s="996">
        <v>0</v>
      </c>
      <c r="AO162" s="999">
        <v>56694.179197656005</v>
      </c>
      <c r="AQ162" s="953"/>
      <c r="AS162" s="953">
        <v>-56694.179197656005</v>
      </c>
    </row>
    <row r="163" spans="1:45" x14ac:dyDescent="0.25">
      <c r="A163" s="925" t="s">
        <v>1222</v>
      </c>
      <c r="B163" s="926" t="s">
        <v>1223</v>
      </c>
      <c r="C163" s="926" t="s">
        <v>1224</v>
      </c>
      <c r="D163" s="954"/>
      <c r="E163" s="954"/>
      <c r="F163" s="953">
        <v>6507</v>
      </c>
      <c r="G163" s="930" t="s">
        <v>1086</v>
      </c>
      <c r="H163" s="897">
        <v>3.6058989272000002</v>
      </c>
      <c r="I163" s="979">
        <v>23463.584319290399</v>
      </c>
      <c r="K163" s="953">
        <v>165.39473684210526</v>
      </c>
      <c r="L163" s="930">
        <v>0.2036</v>
      </c>
      <c r="M163" s="994">
        <v>1279.6260000000002</v>
      </c>
      <c r="O163" s="987">
        <v>0</v>
      </c>
      <c r="Q163" s="953">
        <v>5.5263157894736841</v>
      </c>
      <c r="R163" s="930">
        <v>1.7611399999999999</v>
      </c>
      <c r="S163" s="994">
        <v>369.83939999999996</v>
      </c>
      <c r="U163" s="953">
        <v>2.8421052631578947</v>
      </c>
      <c r="V163" s="930">
        <v>0.2036</v>
      </c>
      <c r="W163" s="994">
        <v>21.988800000000001</v>
      </c>
      <c r="Y163" s="987">
        <v>0</v>
      </c>
      <c r="AA163" s="996">
        <v>0</v>
      </c>
      <c r="AC163" s="996">
        <v>0</v>
      </c>
      <c r="AE163" s="996">
        <v>0</v>
      </c>
      <c r="AG163" s="996">
        <v>0</v>
      </c>
      <c r="AH163" s="1014"/>
      <c r="AI163" s="987">
        <v>0</v>
      </c>
      <c r="AK163" s="996">
        <v>0</v>
      </c>
      <c r="AM163" s="996">
        <v>0</v>
      </c>
      <c r="AO163" s="999">
        <v>25135.0385192904</v>
      </c>
      <c r="AQ163" s="953"/>
      <c r="AS163" s="953">
        <v>-25135.0385192904</v>
      </c>
    </row>
    <row r="164" spans="1:45" x14ac:dyDescent="0.25">
      <c r="A164" s="925" t="s">
        <v>1225</v>
      </c>
      <c r="B164" s="926" t="s">
        <v>1226</v>
      </c>
      <c r="C164" s="926" t="s">
        <v>1227</v>
      </c>
      <c r="D164" s="954"/>
      <c r="E164" s="954"/>
      <c r="F164" s="953">
        <v>13200</v>
      </c>
      <c r="G164" s="930" t="s">
        <v>1074</v>
      </c>
      <c r="H164" s="897">
        <v>3.6058989272000002</v>
      </c>
      <c r="I164" s="979">
        <v>47597.865839040001</v>
      </c>
      <c r="K164" s="953">
        <v>357</v>
      </c>
      <c r="L164" s="930">
        <v>0.2036</v>
      </c>
      <c r="M164" s="994">
        <v>2762.0375999999997</v>
      </c>
      <c r="O164" s="987">
        <v>0</v>
      </c>
      <c r="Q164" s="953">
        <v>4.7368421052631575</v>
      </c>
      <c r="R164" s="930">
        <v>1.7611399999999999</v>
      </c>
      <c r="S164" s="994">
        <v>317.00519999999995</v>
      </c>
      <c r="U164" s="953">
        <v>5.5263157894736841</v>
      </c>
      <c r="V164" s="930">
        <v>0.2036</v>
      </c>
      <c r="W164" s="994">
        <v>42.756</v>
      </c>
      <c r="Y164" s="987">
        <v>0</v>
      </c>
      <c r="AA164" s="996">
        <v>0</v>
      </c>
      <c r="AC164" s="996">
        <v>0</v>
      </c>
      <c r="AE164" s="996">
        <v>0</v>
      </c>
      <c r="AG164" s="996">
        <v>0</v>
      </c>
      <c r="AH164" s="1014"/>
      <c r="AI164" s="987">
        <v>0</v>
      </c>
      <c r="AK164" s="996">
        <v>0</v>
      </c>
      <c r="AM164" s="996">
        <v>0</v>
      </c>
      <c r="AO164" s="999">
        <v>50719.664639040006</v>
      </c>
      <c r="AQ164" s="953"/>
      <c r="AS164" s="953">
        <v>-50719.664639040006</v>
      </c>
    </row>
    <row r="165" spans="1:45" x14ac:dyDescent="0.25">
      <c r="A165" s="925" t="s">
        <v>1228</v>
      </c>
      <c r="B165" s="926" t="s">
        <v>1229</v>
      </c>
      <c r="C165" s="926" t="s">
        <v>1230</v>
      </c>
      <c r="D165" s="954"/>
      <c r="E165" s="954"/>
      <c r="F165" s="953">
        <v>17508</v>
      </c>
      <c r="G165" s="930" t="s">
        <v>1074</v>
      </c>
      <c r="H165" s="897">
        <v>3.6058989272000002</v>
      </c>
      <c r="I165" s="979">
        <v>63132.078417417601</v>
      </c>
      <c r="K165" s="953">
        <v>816.9473684210526</v>
      </c>
      <c r="L165" s="930">
        <v>0.2036</v>
      </c>
      <c r="M165" s="994">
        <v>6320.5583999999999</v>
      </c>
      <c r="O165" s="987">
        <v>0</v>
      </c>
      <c r="Q165" s="953">
        <v>19.736842105263158</v>
      </c>
      <c r="R165" s="930">
        <v>1.7611399999999999</v>
      </c>
      <c r="S165" s="994">
        <v>1320.855</v>
      </c>
      <c r="U165" s="953">
        <v>78.94736842105263</v>
      </c>
      <c r="V165" s="930">
        <v>0.2036</v>
      </c>
      <c r="W165" s="994">
        <v>610.80000000000007</v>
      </c>
      <c r="Y165" s="987">
        <v>0</v>
      </c>
      <c r="AA165" s="996">
        <v>0</v>
      </c>
      <c r="AC165" s="996">
        <v>0</v>
      </c>
      <c r="AE165" s="996">
        <v>0</v>
      </c>
      <c r="AG165" s="996">
        <v>0</v>
      </c>
      <c r="AH165" s="1014"/>
      <c r="AI165" s="987">
        <v>0</v>
      </c>
      <c r="AK165" s="996">
        <v>0</v>
      </c>
      <c r="AM165" s="996">
        <v>0</v>
      </c>
      <c r="AO165" s="999">
        <v>71384.291817417601</v>
      </c>
      <c r="AQ165" s="953"/>
      <c r="AS165" s="953">
        <v>-71384.291817417601</v>
      </c>
    </row>
    <row r="166" spans="1:45" x14ac:dyDescent="0.25">
      <c r="A166" s="971" t="s">
        <v>1231</v>
      </c>
      <c r="B166" s="972"/>
      <c r="C166" s="972" t="s">
        <v>1232</v>
      </c>
      <c r="D166" s="954"/>
      <c r="E166" s="954"/>
      <c r="F166" s="953">
        <v>2500</v>
      </c>
      <c r="G166" s="930" t="s">
        <v>1074</v>
      </c>
      <c r="H166" s="897">
        <v>3.6058989272000002</v>
      </c>
      <c r="I166" s="979">
        <v>9014.7473179999997</v>
      </c>
      <c r="K166" s="953">
        <v>0</v>
      </c>
      <c r="L166" s="930">
        <v>0.2036</v>
      </c>
      <c r="M166" s="994">
        <v>0</v>
      </c>
      <c r="O166" s="987">
        <v>0</v>
      </c>
      <c r="Q166" s="953">
        <v>0</v>
      </c>
      <c r="R166" s="930">
        <v>1.7611399999999999</v>
      </c>
      <c r="S166" s="994">
        <v>0</v>
      </c>
      <c r="U166" s="953">
        <v>0</v>
      </c>
      <c r="V166" s="930">
        <v>0.2036</v>
      </c>
      <c r="W166" s="994">
        <v>0</v>
      </c>
      <c r="Y166" s="987">
        <v>0</v>
      </c>
      <c r="AA166" s="996">
        <v>0</v>
      </c>
      <c r="AC166" s="996">
        <v>0</v>
      </c>
      <c r="AE166" s="996">
        <v>0</v>
      </c>
      <c r="AG166" s="996">
        <v>0</v>
      </c>
      <c r="AH166" s="1014"/>
      <c r="AI166" s="987">
        <v>0</v>
      </c>
      <c r="AK166" s="996">
        <v>0</v>
      </c>
      <c r="AM166" s="996">
        <v>0</v>
      </c>
      <c r="AO166" s="999">
        <v>9014.7473179999997</v>
      </c>
      <c r="AQ166" s="953"/>
      <c r="AS166" s="953">
        <v>-9014.7473179999997</v>
      </c>
    </row>
    <row r="167" spans="1:45" x14ac:dyDescent="0.25">
      <c r="A167" s="925" t="s">
        <v>1233</v>
      </c>
      <c r="B167" s="926" t="s">
        <v>1234</v>
      </c>
      <c r="C167" s="926">
        <v>206152</v>
      </c>
      <c r="D167" s="954"/>
      <c r="E167" s="954"/>
      <c r="F167" s="953">
        <v>20088</v>
      </c>
      <c r="G167" s="930" t="s">
        <v>1086</v>
      </c>
      <c r="H167" s="897">
        <v>3.6058989272000002</v>
      </c>
      <c r="I167" s="979">
        <v>72435.297649593602</v>
      </c>
      <c r="K167" s="953">
        <v>502.1052631578948</v>
      </c>
      <c r="L167" s="930">
        <v>0.2036</v>
      </c>
      <c r="M167" s="994">
        <v>3884.6880000000006</v>
      </c>
      <c r="O167" s="987">
        <v>0</v>
      </c>
      <c r="Q167" s="953">
        <v>4.7368421052631575</v>
      </c>
      <c r="R167" s="930">
        <v>1.7611399999999999</v>
      </c>
      <c r="S167" s="994">
        <v>317.00519999999995</v>
      </c>
      <c r="U167" s="953">
        <v>126</v>
      </c>
      <c r="V167" s="930">
        <v>0.2036</v>
      </c>
      <c r="W167" s="994">
        <v>974.83680000000004</v>
      </c>
      <c r="Y167" s="987">
        <v>0</v>
      </c>
      <c r="AA167" s="996">
        <v>0</v>
      </c>
      <c r="AC167" s="996">
        <v>0</v>
      </c>
      <c r="AE167" s="996">
        <v>0</v>
      </c>
      <c r="AG167" s="996">
        <v>0</v>
      </c>
      <c r="AH167" s="1014"/>
      <c r="AI167" s="987">
        <v>0</v>
      </c>
      <c r="AK167" s="996">
        <v>0</v>
      </c>
      <c r="AM167" s="996">
        <v>0</v>
      </c>
      <c r="AO167" s="999">
        <v>77611.827649593601</v>
      </c>
      <c r="AQ167" s="953"/>
      <c r="AS167" s="953">
        <v>-77611.827649593601</v>
      </c>
    </row>
    <row r="168" spans="1:45" x14ac:dyDescent="0.25">
      <c r="A168" s="925" t="s">
        <v>1235</v>
      </c>
      <c r="B168" s="926" t="s">
        <v>1236</v>
      </c>
      <c r="C168" s="926">
        <v>206153</v>
      </c>
      <c r="D168" s="954"/>
      <c r="E168" s="954"/>
      <c r="F168" s="953">
        <v>10128</v>
      </c>
      <c r="G168" s="930" t="s">
        <v>1086</v>
      </c>
      <c r="H168" s="897">
        <v>3.6058989272000002</v>
      </c>
      <c r="I168" s="979">
        <v>36520.544334681603</v>
      </c>
      <c r="K168" s="953">
        <v>18</v>
      </c>
      <c r="L168" s="930">
        <v>0.2036</v>
      </c>
      <c r="M168" s="994">
        <v>139.26240000000001</v>
      </c>
      <c r="O168" s="987">
        <v>0</v>
      </c>
      <c r="Q168" s="953">
        <v>4.7368421052631575</v>
      </c>
      <c r="R168" s="930">
        <v>1.7611399999999999</v>
      </c>
      <c r="S168" s="994">
        <v>317.00519999999995</v>
      </c>
      <c r="U168" s="953">
        <v>0</v>
      </c>
      <c r="V168" s="930">
        <v>0.2036</v>
      </c>
      <c r="W168" s="994">
        <v>0</v>
      </c>
      <c r="Y168" s="987">
        <v>0</v>
      </c>
      <c r="AA168" s="996">
        <v>0</v>
      </c>
      <c r="AC168" s="996">
        <v>0</v>
      </c>
      <c r="AE168" s="996">
        <v>0</v>
      </c>
      <c r="AG168" s="996">
        <v>0</v>
      </c>
      <c r="AH168" s="1014"/>
      <c r="AI168" s="987">
        <v>0</v>
      </c>
      <c r="AK168" s="996">
        <v>0</v>
      </c>
      <c r="AM168" s="996">
        <v>0</v>
      </c>
      <c r="AO168" s="999">
        <v>36976.811934681602</v>
      </c>
      <c r="AQ168" s="953"/>
      <c r="AS168" s="953">
        <v>-36976.811934681602</v>
      </c>
    </row>
    <row r="169" spans="1:45" x14ac:dyDescent="0.25">
      <c r="A169" s="973" t="s">
        <v>1237</v>
      </c>
      <c r="B169" s="926" t="s">
        <v>1238</v>
      </c>
      <c r="C169" s="926">
        <v>206154</v>
      </c>
      <c r="D169" s="954"/>
      <c r="E169" s="954"/>
      <c r="F169" s="953">
        <v>22302</v>
      </c>
      <c r="G169" s="930" t="s">
        <v>1086</v>
      </c>
      <c r="H169" s="897">
        <v>3.6058989272000002</v>
      </c>
      <c r="I169" s="979">
        <v>80418.757874414398</v>
      </c>
      <c r="K169" s="953">
        <v>1089.9473684210525</v>
      </c>
      <c r="L169" s="930">
        <v>0.2036</v>
      </c>
      <c r="M169" s="994">
        <v>8432.7047999999995</v>
      </c>
      <c r="O169" s="987">
        <v>0</v>
      </c>
      <c r="Q169" s="953">
        <v>4.7368421052631575</v>
      </c>
      <c r="R169" s="930">
        <v>1.7611399999999999</v>
      </c>
      <c r="S169" s="994">
        <v>317.00519999999995</v>
      </c>
      <c r="U169" s="953">
        <v>275.5263157894737</v>
      </c>
      <c r="V169" s="930">
        <v>0.2036</v>
      </c>
      <c r="W169" s="994">
        <v>2131.692</v>
      </c>
      <c r="Y169" s="987">
        <v>0</v>
      </c>
      <c r="AA169" s="996">
        <v>0</v>
      </c>
      <c r="AC169" s="996">
        <v>0</v>
      </c>
      <c r="AE169" s="996">
        <v>0</v>
      </c>
      <c r="AG169" s="996">
        <v>0</v>
      </c>
      <c r="AH169" s="1014"/>
      <c r="AI169" s="987">
        <v>0</v>
      </c>
      <c r="AK169" s="996">
        <v>0</v>
      </c>
      <c r="AM169" s="996">
        <v>0</v>
      </c>
      <c r="AO169" s="999">
        <v>91300.159874414385</v>
      </c>
      <c r="AQ169" s="953"/>
      <c r="AS169" s="953">
        <v>-91300.159874414385</v>
      </c>
    </row>
    <row r="170" spans="1:45" x14ac:dyDescent="0.25">
      <c r="A170" s="888" t="s">
        <v>1239</v>
      </c>
      <c r="B170" s="957"/>
      <c r="C170" s="889" t="s">
        <v>1240</v>
      </c>
      <c r="D170" s="954"/>
      <c r="E170" s="954"/>
      <c r="F170" s="953">
        <v>6420</v>
      </c>
      <c r="G170" s="930" t="s">
        <v>1086</v>
      </c>
      <c r="H170" s="897">
        <v>3.6058989272000002</v>
      </c>
      <c r="I170" s="979">
        <v>23149.871112624001</v>
      </c>
      <c r="K170" s="953">
        <v>204.78947368421055</v>
      </c>
      <c r="L170" s="930">
        <v>0.2036</v>
      </c>
      <c r="M170" s="994">
        <v>1584.4152000000004</v>
      </c>
      <c r="O170" s="987">
        <v>0</v>
      </c>
      <c r="Q170" s="953">
        <v>13.263157894736842</v>
      </c>
      <c r="R170" s="930">
        <v>1.7611399999999999</v>
      </c>
      <c r="S170" s="994">
        <v>887.61455999999998</v>
      </c>
      <c r="U170" s="953">
        <v>0</v>
      </c>
      <c r="V170" s="930">
        <v>0.2036</v>
      </c>
      <c r="W170" s="994">
        <v>0</v>
      </c>
      <c r="Y170" s="987">
        <v>0</v>
      </c>
      <c r="AA170" s="996">
        <v>0</v>
      </c>
      <c r="AC170" s="996">
        <v>0</v>
      </c>
      <c r="AE170" s="996">
        <v>0</v>
      </c>
      <c r="AG170" s="996">
        <v>0</v>
      </c>
      <c r="AH170" s="1014"/>
      <c r="AI170" s="987">
        <v>0</v>
      </c>
      <c r="AK170" s="996">
        <v>0</v>
      </c>
      <c r="AM170" s="996">
        <v>0</v>
      </c>
      <c r="AO170" s="999">
        <v>25621.900872623999</v>
      </c>
      <c r="AQ170" s="953"/>
      <c r="AS170" s="953">
        <v>-25621.900872623999</v>
      </c>
    </row>
    <row r="171" spans="1:45" x14ac:dyDescent="0.25">
      <c r="A171" s="925" t="s">
        <v>1241</v>
      </c>
      <c r="B171" s="926" t="s">
        <v>1242</v>
      </c>
      <c r="C171" s="926" t="s">
        <v>1243</v>
      </c>
      <c r="D171" s="954"/>
      <c r="E171" s="954"/>
      <c r="F171" s="953">
        <v>22998</v>
      </c>
      <c r="G171" s="930" t="s">
        <v>1074</v>
      </c>
      <c r="H171" s="897">
        <v>3.6058989272000002</v>
      </c>
      <c r="I171" s="979">
        <v>82928.463527745611</v>
      </c>
      <c r="K171" s="953">
        <v>1212.421052631579</v>
      </c>
      <c r="L171" s="930">
        <v>0.2036</v>
      </c>
      <c r="M171" s="994">
        <v>9380.2592000000004</v>
      </c>
      <c r="O171" s="987">
        <v>0</v>
      </c>
      <c r="Q171" s="953">
        <v>15</v>
      </c>
      <c r="R171" s="930">
        <v>1.7611399999999999</v>
      </c>
      <c r="S171" s="994">
        <v>1003.8498</v>
      </c>
      <c r="U171" s="953">
        <v>82.89473684210526</v>
      </c>
      <c r="V171" s="930">
        <v>0.2036</v>
      </c>
      <c r="W171" s="994">
        <v>641.33999999999992</v>
      </c>
      <c r="Y171" s="987">
        <v>0</v>
      </c>
      <c r="AA171" s="996">
        <v>0</v>
      </c>
      <c r="AC171" s="996">
        <v>0</v>
      </c>
      <c r="AE171" s="996">
        <v>0</v>
      </c>
      <c r="AG171" s="996">
        <v>0</v>
      </c>
      <c r="AH171" s="1014"/>
      <c r="AI171" s="987">
        <v>0</v>
      </c>
      <c r="AK171" s="996">
        <v>0</v>
      </c>
      <c r="AM171" s="996">
        <v>0</v>
      </c>
      <c r="AO171" s="999">
        <v>93953.912527745604</v>
      </c>
      <c r="AQ171" s="953"/>
      <c r="AS171" s="953">
        <v>-93953.912527745604</v>
      </c>
    </row>
    <row r="172" spans="1:45" x14ac:dyDescent="0.25">
      <c r="A172" s="926" t="s">
        <v>1244</v>
      </c>
      <c r="B172" s="926" t="s">
        <v>1245</v>
      </c>
      <c r="C172" s="926" t="s">
        <v>1246</v>
      </c>
      <c r="D172" s="954"/>
      <c r="E172" s="954"/>
      <c r="F172" s="953">
        <v>13212</v>
      </c>
      <c r="G172" s="930" t="s">
        <v>1074</v>
      </c>
      <c r="H172" s="897">
        <v>3.6058989272000002</v>
      </c>
      <c r="I172" s="979">
        <v>47641.136626166401</v>
      </c>
      <c r="K172" s="953">
        <v>10.421052631578947</v>
      </c>
      <c r="L172" s="930">
        <v>0.2036</v>
      </c>
      <c r="M172" s="994">
        <v>80.625599999999991</v>
      </c>
      <c r="O172" s="987">
        <v>0</v>
      </c>
      <c r="Q172" s="953">
        <v>0</v>
      </c>
      <c r="R172" s="930">
        <v>1.7611399999999999</v>
      </c>
      <c r="S172" s="994">
        <v>0</v>
      </c>
      <c r="U172" s="953">
        <v>5.5263157894736841</v>
      </c>
      <c r="V172" s="930">
        <v>0.2036</v>
      </c>
      <c r="W172" s="994">
        <v>42.756</v>
      </c>
      <c r="Y172" s="987">
        <v>0</v>
      </c>
      <c r="AA172" s="996">
        <v>0</v>
      </c>
      <c r="AC172" s="996">
        <v>0</v>
      </c>
      <c r="AE172" s="996">
        <v>0</v>
      </c>
      <c r="AG172" s="996">
        <v>0</v>
      </c>
      <c r="AH172" s="1014"/>
      <c r="AI172" s="987">
        <v>0</v>
      </c>
      <c r="AK172" s="996">
        <v>0</v>
      </c>
      <c r="AM172" s="996">
        <v>0</v>
      </c>
      <c r="AO172" s="999">
        <v>47764.518226166401</v>
      </c>
      <c r="AQ172" s="953"/>
      <c r="AS172" s="953">
        <v>-47764.518226166401</v>
      </c>
    </row>
    <row r="173" spans="1:45" x14ac:dyDescent="0.25">
      <c r="A173" s="926" t="s">
        <v>1247</v>
      </c>
      <c r="B173" s="926" t="s">
        <v>1245</v>
      </c>
      <c r="C173" s="926">
        <v>206103</v>
      </c>
      <c r="D173" s="954"/>
      <c r="E173" s="954"/>
      <c r="F173" s="953">
        <v>19338</v>
      </c>
      <c r="G173" s="930" t="s">
        <v>1074</v>
      </c>
      <c r="H173" s="897">
        <v>3.6058989272000002</v>
      </c>
      <c r="I173" s="979">
        <v>69730.873454193599</v>
      </c>
      <c r="K173" s="953">
        <v>419.84210526315792</v>
      </c>
      <c r="L173" s="930">
        <v>0.2036</v>
      </c>
      <c r="M173" s="994">
        <v>3248.2344000000003</v>
      </c>
      <c r="O173" s="987">
        <v>0</v>
      </c>
      <c r="Q173" s="953">
        <v>5.5263157894736841</v>
      </c>
      <c r="R173" s="930">
        <v>1.7611399999999999</v>
      </c>
      <c r="S173" s="994">
        <v>369.83939999999996</v>
      </c>
      <c r="U173" s="953">
        <v>26.526315789473685</v>
      </c>
      <c r="V173" s="930">
        <v>0.2036</v>
      </c>
      <c r="W173" s="994">
        <v>205.22880000000001</v>
      </c>
      <c r="Y173" s="987">
        <v>0</v>
      </c>
      <c r="AA173" s="996">
        <v>0</v>
      </c>
      <c r="AC173" s="996">
        <v>0</v>
      </c>
      <c r="AE173" s="996">
        <v>0</v>
      </c>
      <c r="AG173" s="996">
        <v>0</v>
      </c>
      <c r="AH173" s="1014"/>
      <c r="AI173" s="987">
        <v>0</v>
      </c>
      <c r="AK173" s="996">
        <v>0</v>
      </c>
      <c r="AM173" s="996">
        <v>0</v>
      </c>
      <c r="AO173" s="999">
        <v>73554.176054193595</v>
      </c>
      <c r="AQ173" s="953"/>
      <c r="AS173" s="953">
        <v>-73554.176054193595</v>
      </c>
    </row>
    <row r="174" spans="1:45" x14ac:dyDescent="0.25">
      <c r="A174" s="926" t="s">
        <v>1248</v>
      </c>
      <c r="B174" s="926" t="s">
        <v>1249</v>
      </c>
      <c r="C174" s="926" t="s">
        <v>1250</v>
      </c>
      <c r="D174" s="954"/>
      <c r="E174" s="954"/>
      <c r="F174" s="953">
        <v>3570</v>
      </c>
      <c r="G174" s="930" t="s">
        <v>1074</v>
      </c>
      <c r="H174" s="897">
        <v>3.6058989272000002</v>
      </c>
      <c r="I174" s="979">
        <v>12873.059170104001</v>
      </c>
      <c r="K174" s="953">
        <v>118.15789473684211</v>
      </c>
      <c r="L174" s="930">
        <v>0.2036</v>
      </c>
      <c r="M174" s="994">
        <v>914.16399999999999</v>
      </c>
      <c r="O174" s="987">
        <v>0</v>
      </c>
      <c r="Q174" s="953">
        <v>36.842105263157897</v>
      </c>
      <c r="R174" s="930">
        <v>1.7611399999999999</v>
      </c>
      <c r="S174" s="994">
        <v>2465.596</v>
      </c>
      <c r="U174" s="953">
        <v>18.94736842105263</v>
      </c>
      <c r="V174" s="930">
        <v>0.2036</v>
      </c>
      <c r="W174" s="994">
        <v>146.59199999999998</v>
      </c>
      <c r="Y174" s="987">
        <v>0</v>
      </c>
      <c r="AA174" s="996">
        <v>0</v>
      </c>
      <c r="AC174" s="996">
        <v>0</v>
      </c>
      <c r="AE174" s="996">
        <v>0</v>
      </c>
      <c r="AG174" s="996">
        <v>0</v>
      </c>
      <c r="AH174" s="1014"/>
      <c r="AI174" s="987">
        <v>0</v>
      </c>
      <c r="AK174" s="996">
        <v>0</v>
      </c>
      <c r="AM174" s="996">
        <v>0</v>
      </c>
      <c r="AO174" s="999">
        <v>16399.411170104002</v>
      </c>
      <c r="AQ174" s="953"/>
      <c r="AS174" s="953">
        <v>-16399.411170104002</v>
      </c>
    </row>
    <row r="175" spans="1:45" x14ac:dyDescent="0.25">
      <c r="A175" s="926" t="s">
        <v>1251</v>
      </c>
      <c r="B175" s="926" t="s">
        <v>1252</v>
      </c>
      <c r="C175" s="926" t="s">
        <v>1253</v>
      </c>
      <c r="D175" s="954"/>
      <c r="E175" s="954"/>
      <c r="F175" s="953">
        <v>15540</v>
      </c>
      <c r="G175" s="930" t="s">
        <v>1074</v>
      </c>
      <c r="H175" s="897">
        <v>3.6058989272000002</v>
      </c>
      <c r="I175" s="979">
        <v>56035.669328688004</v>
      </c>
      <c r="K175" s="953">
        <v>840</v>
      </c>
      <c r="L175" s="930">
        <v>0.2036</v>
      </c>
      <c r="M175" s="994">
        <v>6498.9120000000003</v>
      </c>
      <c r="O175" s="987">
        <v>0</v>
      </c>
      <c r="Q175" s="953">
        <v>4.7368421052631575</v>
      </c>
      <c r="R175" s="930">
        <v>1.7611399999999999</v>
      </c>
      <c r="S175" s="994">
        <v>317.00519999999995</v>
      </c>
      <c r="U175" s="953">
        <v>127.89473684210526</v>
      </c>
      <c r="V175" s="930">
        <v>0.2036</v>
      </c>
      <c r="W175" s="994">
        <v>989.49599999999998</v>
      </c>
      <c r="Y175" s="987">
        <v>0</v>
      </c>
      <c r="AA175" s="996">
        <v>0</v>
      </c>
      <c r="AC175" s="996">
        <v>0</v>
      </c>
      <c r="AE175" s="996">
        <v>0</v>
      </c>
      <c r="AG175" s="996">
        <v>0</v>
      </c>
      <c r="AH175" s="1014"/>
      <c r="AI175" s="987">
        <v>0</v>
      </c>
      <c r="AK175" s="996">
        <v>0</v>
      </c>
      <c r="AM175" s="996">
        <v>0</v>
      </c>
      <c r="AO175" s="999">
        <v>63841.082528687999</v>
      </c>
      <c r="AQ175" s="953"/>
      <c r="AS175" s="953">
        <v>-63841.082528687999</v>
      </c>
    </row>
    <row r="176" spans="1:45" x14ac:dyDescent="0.25">
      <c r="A176" s="926" t="s">
        <v>1254</v>
      </c>
      <c r="B176" s="926" t="s">
        <v>1255</v>
      </c>
      <c r="C176" s="926">
        <v>258420</v>
      </c>
      <c r="D176" s="954"/>
      <c r="E176" s="954"/>
      <c r="F176" s="953">
        <v>10908</v>
      </c>
      <c r="G176" s="930" t="s">
        <v>1074</v>
      </c>
      <c r="H176" s="897">
        <v>3.6058989272000002</v>
      </c>
      <c r="I176" s="979">
        <v>39333.145497897603</v>
      </c>
      <c r="K176" s="953">
        <v>277.89473684210526</v>
      </c>
      <c r="L176" s="930">
        <v>0.2036</v>
      </c>
      <c r="M176" s="994">
        <v>2150.0160000000001</v>
      </c>
      <c r="O176" s="987">
        <v>0</v>
      </c>
      <c r="Q176" s="953">
        <v>9.473684210526315</v>
      </c>
      <c r="R176" s="930">
        <v>1.7611399999999999</v>
      </c>
      <c r="S176" s="994">
        <v>634.01039999999989</v>
      </c>
      <c r="U176" s="953">
        <v>0</v>
      </c>
      <c r="V176" s="930">
        <v>0.2036</v>
      </c>
      <c r="W176" s="994">
        <v>0</v>
      </c>
      <c r="Y176" s="987">
        <v>0</v>
      </c>
      <c r="AA176" s="996">
        <v>0</v>
      </c>
      <c r="AC176" s="996">
        <v>0</v>
      </c>
      <c r="AE176" s="996">
        <v>0</v>
      </c>
      <c r="AG176" s="996">
        <v>0</v>
      </c>
      <c r="AH176" s="1014"/>
      <c r="AI176" s="987">
        <v>0</v>
      </c>
      <c r="AK176" s="996">
        <v>0</v>
      </c>
      <c r="AM176" s="996">
        <v>0</v>
      </c>
      <c r="AO176" s="999">
        <v>42117.171897897606</v>
      </c>
      <c r="AQ176" s="953"/>
      <c r="AS176" s="953">
        <v>-42117.171897897606</v>
      </c>
    </row>
    <row r="177" spans="1:45" x14ac:dyDescent="0.25">
      <c r="A177" s="926" t="s">
        <v>1256</v>
      </c>
      <c r="B177" s="926" t="s">
        <v>1257</v>
      </c>
      <c r="C177" s="926">
        <v>258424</v>
      </c>
      <c r="D177" s="954"/>
      <c r="E177" s="954"/>
      <c r="F177" s="953">
        <v>21618</v>
      </c>
      <c r="G177" s="930" t="s">
        <v>1074</v>
      </c>
      <c r="H177" s="897">
        <v>3.6058989272000002</v>
      </c>
      <c r="I177" s="979">
        <v>77952.323008209598</v>
      </c>
      <c r="K177" s="953">
        <v>278.36842105263156</v>
      </c>
      <c r="L177" s="930">
        <v>0.2036</v>
      </c>
      <c r="M177" s="994">
        <v>2153.6808000000001</v>
      </c>
      <c r="O177" s="987">
        <v>0</v>
      </c>
      <c r="Q177" s="953">
        <v>0</v>
      </c>
      <c r="R177" s="930">
        <v>1.7611399999999999</v>
      </c>
      <c r="S177" s="994">
        <v>0</v>
      </c>
      <c r="U177" s="953">
        <v>14.842105263157896</v>
      </c>
      <c r="V177" s="930">
        <v>0.2036</v>
      </c>
      <c r="W177" s="994">
        <v>114.83040000000001</v>
      </c>
      <c r="Y177" s="987">
        <v>0</v>
      </c>
      <c r="AA177" s="996">
        <v>0</v>
      </c>
      <c r="AC177" s="996">
        <v>0</v>
      </c>
      <c r="AE177" s="996">
        <v>0</v>
      </c>
      <c r="AG177" s="996">
        <v>0</v>
      </c>
      <c r="AH177" s="1014"/>
      <c r="AI177" s="987">
        <v>0</v>
      </c>
      <c r="AK177" s="996">
        <v>0</v>
      </c>
      <c r="AM177" s="996">
        <v>0</v>
      </c>
      <c r="AO177" s="999">
        <v>80220.834208209606</v>
      </c>
      <c r="AQ177" s="953"/>
      <c r="AS177" s="953">
        <v>-80220.834208209606</v>
      </c>
    </row>
    <row r="178" spans="1:45" x14ac:dyDescent="0.25">
      <c r="A178" s="957" t="s">
        <v>1258</v>
      </c>
      <c r="B178" s="957" t="s">
        <v>1259</v>
      </c>
      <c r="C178" s="880" t="s">
        <v>1260</v>
      </c>
      <c r="D178" s="954"/>
      <c r="E178" s="954"/>
      <c r="F178" s="953">
        <v>11958</v>
      </c>
      <c r="G178" s="930" t="s">
        <v>1086</v>
      </c>
      <c r="H178" s="897">
        <v>3.6058989272000002</v>
      </c>
      <c r="I178" s="979">
        <v>43119.339371457601</v>
      </c>
      <c r="K178" s="953">
        <v>219.4736842105263</v>
      </c>
      <c r="L178" s="930">
        <v>0.2036</v>
      </c>
      <c r="M178" s="994">
        <v>1698.0239999999999</v>
      </c>
      <c r="O178" s="987">
        <v>0</v>
      </c>
      <c r="Q178" s="953">
        <v>5.5263157894736841</v>
      </c>
      <c r="R178" s="930">
        <v>1.7611399999999999</v>
      </c>
      <c r="S178" s="994">
        <v>369.83939999999996</v>
      </c>
      <c r="U178" s="953">
        <v>9.473684210526315</v>
      </c>
      <c r="V178" s="930">
        <v>0.2036</v>
      </c>
      <c r="W178" s="994">
        <v>73.295999999999992</v>
      </c>
      <c r="Y178" s="987">
        <v>0</v>
      </c>
      <c r="AA178" s="996">
        <v>0</v>
      </c>
      <c r="AC178" s="996">
        <v>0</v>
      </c>
      <c r="AE178" s="996">
        <v>0</v>
      </c>
      <c r="AG178" s="996">
        <v>0</v>
      </c>
      <c r="AH178" s="1014"/>
      <c r="AI178" s="987">
        <v>0</v>
      </c>
      <c r="AK178" s="996">
        <v>0</v>
      </c>
      <c r="AM178" s="996">
        <v>0</v>
      </c>
      <c r="AO178" s="999">
        <v>45260.498771457598</v>
      </c>
      <c r="AQ178" s="953"/>
      <c r="AS178" s="953">
        <v>-45260.498771457598</v>
      </c>
    </row>
    <row r="179" spans="1:45" x14ac:dyDescent="0.25">
      <c r="A179" s="974" t="s">
        <v>1261</v>
      </c>
      <c r="B179" s="957"/>
      <c r="C179" s="975" t="s">
        <v>1262</v>
      </c>
      <c r="D179" s="954"/>
      <c r="E179" s="954"/>
      <c r="F179" s="953">
        <v>34000</v>
      </c>
      <c r="G179" s="930" t="s">
        <v>1074</v>
      </c>
      <c r="H179" s="897">
        <v>3.6058989272000002</v>
      </c>
      <c r="I179" s="979">
        <v>122600.5635248</v>
      </c>
      <c r="K179" s="953">
        <v>204.31578947368422</v>
      </c>
      <c r="L179" s="930">
        <v>0.2036</v>
      </c>
      <c r="M179" s="994">
        <v>1580.7503999999999</v>
      </c>
      <c r="O179" s="987">
        <v>0</v>
      </c>
      <c r="Q179" s="953">
        <v>0</v>
      </c>
      <c r="R179" s="930">
        <v>1.7611399999999999</v>
      </c>
      <c r="S179" s="994">
        <v>0</v>
      </c>
      <c r="U179" s="953">
        <v>15</v>
      </c>
      <c r="V179" s="930">
        <v>0.2036</v>
      </c>
      <c r="W179" s="994">
        <v>116.05200000000001</v>
      </c>
      <c r="Y179" s="987">
        <v>0</v>
      </c>
      <c r="AA179" s="996">
        <v>0</v>
      </c>
      <c r="AC179" s="996">
        <v>0</v>
      </c>
      <c r="AE179" s="996">
        <v>0</v>
      </c>
      <c r="AG179" s="996">
        <v>0</v>
      </c>
      <c r="AH179" s="1014"/>
      <c r="AI179" s="987">
        <v>0</v>
      </c>
      <c r="AK179" s="996">
        <v>0</v>
      </c>
      <c r="AM179" s="996">
        <v>0</v>
      </c>
      <c r="AO179" s="999">
        <v>124297.3659248</v>
      </c>
      <c r="AQ179" s="953"/>
      <c r="AS179" s="953">
        <v>-124297.3659248</v>
      </c>
    </row>
    <row r="180" spans="1:45" x14ac:dyDescent="0.25">
      <c r="A180" s="976" t="s">
        <v>1263</v>
      </c>
      <c r="B180" s="977" t="s">
        <v>1264</v>
      </c>
      <c r="C180" s="977" t="s">
        <v>1264</v>
      </c>
      <c r="D180" s="954"/>
      <c r="E180" s="954"/>
      <c r="F180" s="953">
        <v>11000</v>
      </c>
      <c r="G180" s="930" t="s">
        <v>1074</v>
      </c>
      <c r="H180" s="897">
        <v>3.6058989272000002</v>
      </c>
      <c r="I180" s="979">
        <v>39664.888199200002</v>
      </c>
      <c r="K180" s="953">
        <v>0</v>
      </c>
      <c r="L180" s="930">
        <v>0.2036</v>
      </c>
      <c r="M180" s="994">
        <v>0</v>
      </c>
      <c r="O180" s="987">
        <v>0</v>
      </c>
      <c r="Q180" s="953">
        <v>0</v>
      </c>
      <c r="R180" s="930">
        <v>1.7611399999999999</v>
      </c>
      <c r="S180" s="994">
        <v>0</v>
      </c>
      <c r="U180" s="953">
        <v>0</v>
      </c>
      <c r="V180" s="930">
        <v>0.2036</v>
      </c>
      <c r="W180" s="994">
        <v>0</v>
      </c>
      <c r="Y180" s="987">
        <v>0</v>
      </c>
      <c r="AA180" s="996">
        <v>0</v>
      </c>
      <c r="AC180" s="996">
        <v>0</v>
      </c>
      <c r="AE180" s="996">
        <v>0</v>
      </c>
      <c r="AG180" s="996">
        <v>0</v>
      </c>
      <c r="AH180" s="1014"/>
      <c r="AI180" s="987">
        <v>0</v>
      </c>
      <c r="AK180" s="996">
        <v>0</v>
      </c>
      <c r="AM180" s="996">
        <v>0</v>
      </c>
      <c r="AO180" s="999">
        <v>39664.888199200002</v>
      </c>
      <c r="AQ180" s="953"/>
      <c r="AS180" s="953">
        <v>-39664.888199200002</v>
      </c>
    </row>
    <row r="181" spans="1:45" x14ac:dyDescent="0.25">
      <c r="A181" s="925" t="s">
        <v>1265</v>
      </c>
      <c r="B181" s="926" t="s">
        <v>1266</v>
      </c>
      <c r="C181" s="926">
        <v>509204</v>
      </c>
      <c r="D181" s="954"/>
      <c r="E181" s="954"/>
      <c r="F181" s="953">
        <v>25194</v>
      </c>
      <c r="G181" s="930" t="s">
        <v>1074</v>
      </c>
      <c r="H181" s="897">
        <v>3.6058989272000002</v>
      </c>
      <c r="I181" s="979">
        <v>90847.017571876801</v>
      </c>
      <c r="K181" s="953">
        <v>193.57894736842107</v>
      </c>
      <c r="L181" s="930">
        <v>0.2036</v>
      </c>
      <c r="M181" s="994">
        <v>1497.6816000000001</v>
      </c>
      <c r="O181" s="987">
        <v>0</v>
      </c>
      <c r="Q181" s="953">
        <v>0</v>
      </c>
      <c r="R181" s="930">
        <v>1.7611399999999999</v>
      </c>
      <c r="S181" s="994">
        <v>0</v>
      </c>
      <c r="U181" s="953">
        <v>0</v>
      </c>
      <c r="V181" s="930">
        <v>0.2036</v>
      </c>
      <c r="W181" s="994">
        <v>0</v>
      </c>
      <c r="Y181" s="987">
        <v>0</v>
      </c>
      <c r="AA181" s="996">
        <v>0</v>
      </c>
      <c r="AC181" s="996">
        <v>0</v>
      </c>
      <c r="AE181" s="996">
        <v>0</v>
      </c>
      <c r="AG181" s="996">
        <v>0</v>
      </c>
      <c r="AH181" s="1014"/>
      <c r="AI181" s="987">
        <v>0</v>
      </c>
      <c r="AK181" s="996">
        <v>0</v>
      </c>
      <c r="AM181" s="996">
        <v>0</v>
      </c>
      <c r="AO181" s="999">
        <v>92344.699171876797</v>
      </c>
      <c r="AQ181" s="953"/>
      <c r="AS181" s="953">
        <v>-92344.699171876797</v>
      </c>
    </row>
    <row r="182" spans="1:45" x14ac:dyDescent="0.25">
      <c r="A182" s="925" t="s">
        <v>1309</v>
      </c>
      <c r="B182" s="926"/>
      <c r="C182" s="926"/>
      <c r="D182" s="954"/>
      <c r="E182" s="954"/>
      <c r="F182" s="953"/>
      <c r="H182" s="897"/>
      <c r="K182" s="953"/>
      <c r="M182" s="994"/>
      <c r="Q182" s="953"/>
      <c r="S182" s="994"/>
      <c r="U182" s="953"/>
      <c r="W182" s="994"/>
      <c r="Y182" s="987">
        <v>80000</v>
      </c>
      <c r="AA182" s="996">
        <v>0</v>
      </c>
      <c r="AC182" s="996">
        <v>0</v>
      </c>
      <c r="AE182" s="996">
        <v>0</v>
      </c>
      <c r="AG182" s="996">
        <v>0</v>
      </c>
      <c r="AH182" s="1014"/>
      <c r="AI182" s="987">
        <v>0</v>
      </c>
      <c r="AK182" s="996">
        <v>0</v>
      </c>
      <c r="AM182" s="996">
        <v>0</v>
      </c>
      <c r="AO182" s="999">
        <v>80000</v>
      </c>
      <c r="AQ182" s="953"/>
      <c r="AS182" s="953"/>
    </row>
    <row r="183" spans="1:45" x14ac:dyDescent="0.25">
      <c r="C183" s="891" t="s">
        <v>1270</v>
      </c>
      <c r="F183" s="978">
        <v>1027686.8947368421</v>
      </c>
      <c r="I183" s="1000">
        <v>3705735.0712290779</v>
      </c>
      <c r="K183" s="941">
        <v>23824.42105263158</v>
      </c>
      <c r="M183" s="1000">
        <v>184324.78079999998</v>
      </c>
      <c r="O183" s="1000">
        <v>0</v>
      </c>
      <c r="P183" s="941">
        <v>0</v>
      </c>
      <c r="Q183" s="941">
        <v>557.73684210526324</v>
      </c>
      <c r="S183" s="1000">
        <v>37325.601159999984</v>
      </c>
      <c r="U183" s="941">
        <v>3219.2368421052638</v>
      </c>
      <c r="W183" s="1000">
        <v>24906.591599999996</v>
      </c>
      <c r="Y183" s="1000">
        <v>80000</v>
      </c>
      <c r="AA183" s="1000">
        <v>0</v>
      </c>
      <c r="AC183" s="1000">
        <v>0</v>
      </c>
      <c r="AE183" s="1000">
        <v>0</v>
      </c>
      <c r="AG183" s="1000">
        <v>0</v>
      </c>
      <c r="AH183" s="1011"/>
      <c r="AI183" s="1000">
        <v>0</v>
      </c>
      <c r="AJ183" s="1012"/>
      <c r="AK183" s="1000">
        <v>0</v>
      </c>
      <c r="AL183" s="1012"/>
      <c r="AM183" s="1000">
        <v>0</v>
      </c>
      <c r="AO183" s="1005">
        <v>4032292.0447890786</v>
      </c>
      <c r="AP183" s="953"/>
      <c r="AQ183" s="953"/>
      <c r="AS183" s="953"/>
    </row>
    <row r="184" spans="1:45" x14ac:dyDescent="0.25">
      <c r="K184" s="953"/>
    </row>
    <row r="185" spans="1:45" x14ac:dyDescent="0.25">
      <c r="C185" s="891" t="s">
        <v>144</v>
      </c>
      <c r="D185" s="979">
        <v>62890</v>
      </c>
      <c r="E185" s="979">
        <v>1886700</v>
      </c>
      <c r="F185" s="979">
        <v>2461902.8947368423</v>
      </c>
      <c r="G185" s="979">
        <v>0</v>
      </c>
      <c r="H185" s="979">
        <v>0</v>
      </c>
      <c r="I185" s="979">
        <v>9413250.5218290798</v>
      </c>
      <c r="J185" s="979">
        <v>0</v>
      </c>
      <c r="K185" s="979">
        <v>87831.105263157893</v>
      </c>
      <c r="L185" s="979">
        <v>0</v>
      </c>
      <c r="M185" s="979">
        <v>679531.69520000007</v>
      </c>
      <c r="N185" s="979">
        <v>0</v>
      </c>
      <c r="O185" s="979">
        <v>800000</v>
      </c>
      <c r="P185" s="979">
        <v>0</v>
      </c>
      <c r="Q185" s="979">
        <v>1977.9984210526318</v>
      </c>
      <c r="R185" s="979">
        <v>0</v>
      </c>
      <c r="S185" s="979">
        <v>132374.22129159997</v>
      </c>
      <c r="T185" s="979">
        <v>0</v>
      </c>
      <c r="U185" s="979">
        <v>11610.552631578948</v>
      </c>
      <c r="V185" s="979">
        <v>0</v>
      </c>
      <c r="W185" s="979">
        <v>89828.5236</v>
      </c>
      <c r="X185" s="979">
        <v>0</v>
      </c>
      <c r="Y185" s="979">
        <v>80000</v>
      </c>
      <c r="Z185" s="979">
        <v>0</v>
      </c>
      <c r="AA185" s="979">
        <v>168620</v>
      </c>
      <c r="AB185" s="979">
        <v>0</v>
      </c>
      <c r="AC185" s="979">
        <v>64996</v>
      </c>
      <c r="AD185" s="979">
        <v>0</v>
      </c>
      <c r="AE185" s="979">
        <v>33966.442860000003</v>
      </c>
      <c r="AF185" s="979"/>
      <c r="AG185" s="979">
        <v>10511</v>
      </c>
      <c r="AH185" s="997"/>
      <c r="AI185" s="979">
        <v>-264014</v>
      </c>
      <c r="AJ185" s="998"/>
      <c r="AK185" s="979">
        <v>73687</v>
      </c>
      <c r="AL185" s="998"/>
      <c r="AM185" s="979">
        <v>-71282.514483174091</v>
      </c>
      <c r="AN185" s="1016"/>
      <c r="AO185" s="999">
        <v>11211468.890297506</v>
      </c>
      <c r="AQ185" s="953">
        <v>11211468.890297506</v>
      </c>
    </row>
    <row r="186" spans="1:45" x14ac:dyDescent="0.25">
      <c r="A186" s="976"/>
      <c r="B186" s="977"/>
      <c r="C186" s="977"/>
      <c r="AO186" s="990">
        <v>1440450</v>
      </c>
      <c r="AQ186" s="953">
        <v>244127</v>
      </c>
      <c r="AS186" s="930" t="s">
        <v>634</v>
      </c>
    </row>
    <row r="187" spans="1:45" x14ac:dyDescent="0.25">
      <c r="AQ187" s="953">
        <v>10967341.890297506</v>
      </c>
      <c r="AS187" s="930" t="s">
        <v>583</v>
      </c>
    </row>
    <row r="190" spans="1:45" x14ac:dyDescent="0.25">
      <c r="AK190" s="987">
        <v>5.1377895658673449E-2</v>
      </c>
      <c r="AO190" s="999"/>
    </row>
    <row r="192" spans="1:45" x14ac:dyDescent="0.25">
      <c r="C192" s="930">
        <v>1</v>
      </c>
      <c r="D192" s="930">
        <v>2</v>
      </c>
      <c r="E192" s="930">
        <v>3</v>
      </c>
      <c r="F192" s="930">
        <v>4</v>
      </c>
      <c r="G192" s="930">
        <v>5</v>
      </c>
      <c r="H192" s="930">
        <v>6</v>
      </c>
      <c r="I192" s="930">
        <v>7</v>
      </c>
      <c r="J192" s="930">
        <v>8</v>
      </c>
      <c r="K192" s="930">
        <v>9</v>
      </c>
      <c r="L192" s="930">
        <v>10</v>
      </c>
      <c r="M192" s="930">
        <v>11</v>
      </c>
      <c r="N192" s="930">
        <v>12</v>
      </c>
      <c r="O192" s="930">
        <v>13</v>
      </c>
      <c r="P192" s="930">
        <v>14</v>
      </c>
      <c r="Q192" s="930">
        <v>15</v>
      </c>
      <c r="R192" s="930">
        <v>16</v>
      </c>
      <c r="S192" s="930">
        <v>17</v>
      </c>
      <c r="T192" s="930">
        <v>18</v>
      </c>
      <c r="U192" s="930">
        <v>19</v>
      </c>
      <c r="V192" s="930">
        <v>20</v>
      </c>
      <c r="W192" s="930">
        <v>21</v>
      </c>
      <c r="X192" s="930">
        <v>22</v>
      </c>
      <c r="Y192" s="930">
        <v>23</v>
      </c>
      <c r="Z192" s="930">
        <v>24</v>
      </c>
      <c r="AA192" s="930">
        <v>25</v>
      </c>
      <c r="AB192" s="930">
        <v>26</v>
      </c>
      <c r="AC192" s="930">
        <v>27</v>
      </c>
      <c r="AD192" s="930">
        <v>28</v>
      </c>
      <c r="AE192" s="930">
        <v>29</v>
      </c>
      <c r="AF192" s="930">
        <v>30</v>
      </c>
      <c r="AG192" s="930">
        <v>31</v>
      </c>
      <c r="AH192" s="930">
        <v>32</v>
      </c>
      <c r="AI192" s="930">
        <v>33</v>
      </c>
      <c r="AJ192" s="930">
        <v>34</v>
      </c>
      <c r="AK192" s="930">
        <v>35</v>
      </c>
      <c r="AL192" s="930">
        <v>36</v>
      </c>
      <c r="AM192" s="930">
        <v>37</v>
      </c>
      <c r="AN192" s="930">
        <v>38</v>
      </c>
      <c r="AO192" s="930">
        <v>39</v>
      </c>
    </row>
  </sheetData>
  <sheetProtection password="EF5C" sheet="1" objects="1" scenarios="1"/>
  <pageMargins left="0.23622047244094491" right="0.23622047244094491" top="0.74803149606299213" bottom="0.74803149606299213" header="0.31496062992125984" footer="0.31496062992125984"/>
  <pageSetup paperSize="9"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5"/>
  <sheetViews>
    <sheetView view="pageLayout" topLeftCell="E61" zoomScaleNormal="100" workbookViewId="0">
      <selection activeCell="Q8" sqref="Q8"/>
    </sheetView>
  </sheetViews>
  <sheetFormatPr defaultRowHeight="12.75" x14ac:dyDescent="0.2"/>
  <cols>
    <col min="1" max="1" width="38.28515625" bestFit="1" customWidth="1"/>
    <col min="2" max="2" width="11" style="1174" customWidth="1"/>
    <col min="3" max="3" width="9.5703125" style="1174" customWidth="1"/>
    <col min="10" max="14" width="9.140625" style="1193"/>
    <col min="15" max="15" width="13.140625" style="1193" customWidth="1"/>
    <col min="16" max="17" width="9.140625" style="1193"/>
    <col min="18" max="18" width="9.85546875" style="1193" customWidth="1"/>
    <col min="19" max="21" width="9.140625" style="1193"/>
    <col min="22" max="22" width="10.140625" style="1193" bestFit="1" customWidth="1"/>
  </cols>
  <sheetData>
    <row r="1" spans="1:22" s="3" customFormat="1" x14ac:dyDescent="0.2">
      <c r="A1" s="1304"/>
      <c r="B1" s="1305"/>
      <c r="C1" s="1305"/>
      <c r="D1" s="1304" t="s">
        <v>1438</v>
      </c>
      <c r="E1" s="1304" t="s">
        <v>1438</v>
      </c>
      <c r="F1" s="1304" t="s">
        <v>1438</v>
      </c>
      <c r="G1" s="1304" t="s">
        <v>1394</v>
      </c>
      <c r="H1" s="1304" t="s">
        <v>1394</v>
      </c>
      <c r="I1" s="1304" t="s">
        <v>1394</v>
      </c>
      <c r="J1" s="1305" t="s">
        <v>1371</v>
      </c>
      <c r="K1" s="1305" t="s">
        <v>1371</v>
      </c>
      <c r="L1" s="1305" t="s">
        <v>1371</v>
      </c>
      <c r="M1" s="1305" t="s">
        <v>1372</v>
      </c>
      <c r="N1" s="1305" t="s">
        <v>1372</v>
      </c>
      <c r="O1" s="1305" t="s">
        <v>1372</v>
      </c>
      <c r="P1" s="1305" t="s">
        <v>1373</v>
      </c>
      <c r="Q1" s="1305" t="s">
        <v>1373</v>
      </c>
      <c r="R1" s="1305" t="s">
        <v>1373</v>
      </c>
      <c r="S1" s="1305" t="s">
        <v>1374</v>
      </c>
      <c r="T1" s="1305" t="s">
        <v>1374</v>
      </c>
      <c r="U1" s="1305" t="s">
        <v>1374</v>
      </c>
      <c r="V1" s="1305"/>
    </row>
    <row r="2" spans="1:22" s="3" customFormat="1" x14ac:dyDescent="0.2">
      <c r="A2" s="1304" t="s">
        <v>1462</v>
      </c>
      <c r="B2" s="1305"/>
      <c r="C2" s="1305"/>
      <c r="D2" s="1304" t="s">
        <v>1439</v>
      </c>
      <c r="E2" s="1304" t="s">
        <v>1440</v>
      </c>
      <c r="F2" s="1304" t="s">
        <v>1441</v>
      </c>
      <c r="G2" s="1304" t="s">
        <v>1439</v>
      </c>
      <c r="H2" s="1304" t="s">
        <v>1440</v>
      </c>
      <c r="I2" s="1304" t="s">
        <v>1441</v>
      </c>
      <c r="J2" s="1305" t="s">
        <v>1439</v>
      </c>
      <c r="K2" s="1305" t="s">
        <v>1440</v>
      </c>
      <c r="L2" s="1305" t="s">
        <v>1441</v>
      </c>
      <c r="M2" s="1305" t="s">
        <v>1439</v>
      </c>
      <c r="N2" s="1305" t="s">
        <v>1440</v>
      </c>
      <c r="O2" s="1305" t="s">
        <v>1441</v>
      </c>
      <c r="P2" s="1305" t="s">
        <v>1439</v>
      </c>
      <c r="Q2" s="1305" t="s">
        <v>1440</v>
      </c>
      <c r="R2" s="1305" t="s">
        <v>1441</v>
      </c>
      <c r="S2" s="1305" t="s">
        <v>1439</v>
      </c>
      <c r="T2" s="1305" t="s">
        <v>1440</v>
      </c>
      <c r="U2" s="1305" t="s">
        <v>1441</v>
      </c>
      <c r="V2" s="1305"/>
    </row>
    <row r="3" spans="1:22" s="17" customFormat="1" x14ac:dyDescent="0.2">
      <c r="A3" s="1306"/>
      <c r="B3" s="1307"/>
      <c r="C3" s="1307" t="s">
        <v>1406</v>
      </c>
      <c r="D3" s="1306" t="s">
        <v>1442</v>
      </c>
      <c r="E3" s="1306" t="s">
        <v>1442</v>
      </c>
      <c r="F3" s="1306" t="s">
        <v>1442</v>
      </c>
      <c r="G3" s="1306" t="s">
        <v>1442</v>
      </c>
      <c r="H3" s="1306" t="s">
        <v>1442</v>
      </c>
      <c r="I3" s="1306" t="s">
        <v>1442</v>
      </c>
      <c r="J3" s="1307" t="s">
        <v>1442</v>
      </c>
      <c r="K3" s="1307" t="s">
        <v>1442</v>
      </c>
      <c r="L3" s="1307" t="s">
        <v>1442</v>
      </c>
      <c r="M3" s="1307" t="s">
        <v>1442</v>
      </c>
      <c r="N3" s="1307" t="s">
        <v>1442</v>
      </c>
      <c r="O3" s="1307" t="s">
        <v>1442</v>
      </c>
      <c r="P3" s="1307" t="s">
        <v>1442</v>
      </c>
      <c r="Q3" s="1307" t="s">
        <v>1442</v>
      </c>
      <c r="R3" s="1307" t="s">
        <v>1442</v>
      </c>
      <c r="S3" s="1307" t="s">
        <v>1442</v>
      </c>
      <c r="T3" s="1307" t="s">
        <v>1442</v>
      </c>
      <c r="U3" s="1307" t="s">
        <v>1442</v>
      </c>
      <c r="V3" s="1307"/>
    </row>
    <row r="4" spans="1:22" x14ac:dyDescent="0.2">
      <c r="A4" s="1308" t="s">
        <v>1335</v>
      </c>
      <c r="B4" s="1309"/>
      <c r="C4" s="1308">
        <v>7026</v>
      </c>
      <c r="D4" s="1310">
        <v>5007.0940817285118</v>
      </c>
      <c r="E4" s="1310">
        <v>4956.7504462188826</v>
      </c>
      <c r="F4" s="1310">
        <v>4956.7504462188826</v>
      </c>
      <c r="G4" s="1310">
        <v>7584.0589243776431</v>
      </c>
      <c r="H4" s="1310">
        <v>6989.3747299201505</v>
      </c>
      <c r="I4" s="1310">
        <v>6345.3957256928143</v>
      </c>
      <c r="J4" s="1313">
        <v>10311.005847815877</v>
      </c>
      <c r="K4" s="1313">
        <v>9667.0268435885391</v>
      </c>
      <c r="L4" s="1313">
        <v>9616.6832080789118</v>
      </c>
      <c r="M4" s="1313">
        <v>10707.461977454206</v>
      </c>
      <c r="N4" s="1313">
        <v>10558.528722404886</v>
      </c>
      <c r="O4" s="1313">
        <v>10410.644293095353</v>
      </c>
      <c r="P4" s="1313">
        <v>16157.905119774545</v>
      </c>
      <c r="Q4" s="1313">
        <v>16157.905119774545</v>
      </c>
      <c r="R4" s="1313">
        <v>16157.905119774545</v>
      </c>
      <c r="S4" s="1313">
        <v>42315.810239549086</v>
      </c>
      <c r="T4" s="1313">
        <v>42315.810239549086</v>
      </c>
      <c r="U4" s="1313">
        <v>42315.810239549086</v>
      </c>
      <c r="V4" s="1312"/>
    </row>
    <row r="5" spans="1:22" x14ac:dyDescent="0.2">
      <c r="A5" s="1308" t="s">
        <v>1337</v>
      </c>
      <c r="B5" s="1309"/>
      <c r="C5" s="1308">
        <v>7027</v>
      </c>
      <c r="D5" s="1310">
        <v>4165.1555355021683</v>
      </c>
      <c r="E5" s="1310">
        <v>4123.2771388318488</v>
      </c>
      <c r="F5" s="1310">
        <v>4123.2771388318488</v>
      </c>
      <c r="G5" s="1310">
        <v>6308.8059650641344</v>
      </c>
      <c r="H5" s="1310">
        <v>5814.1174043959882</v>
      </c>
      <c r="I5" s="1310">
        <v>5278.4229136548211</v>
      </c>
      <c r="J5" s="1313">
        <v>8577.2191180397604</v>
      </c>
      <c r="K5" s="1313">
        <v>8041.5246272985923</v>
      </c>
      <c r="L5" s="1313">
        <v>7999.6462306282738</v>
      </c>
      <c r="M5" s="1313">
        <v>8907.0114918185245</v>
      </c>
      <c r="N5" s="1313">
        <v>8783.1212350021633</v>
      </c>
      <c r="O5" s="1313">
        <v>8660.1034447831007</v>
      </c>
      <c r="P5" s="1313">
        <v>12701.368723468908</v>
      </c>
      <c r="Q5" s="1313">
        <v>12701.368723468908</v>
      </c>
      <c r="R5" s="1313">
        <v>12701.368723468908</v>
      </c>
      <c r="S5" s="1313">
        <v>35402.737446937812</v>
      </c>
      <c r="T5" s="1313">
        <v>35402.737446937812</v>
      </c>
      <c r="U5" s="1313">
        <v>35402.737446937812</v>
      </c>
      <c r="V5" s="1312"/>
    </row>
    <row r="6" spans="1:22" x14ac:dyDescent="0.2">
      <c r="A6" s="1308" t="s">
        <v>1339</v>
      </c>
      <c r="B6" s="1309"/>
      <c r="C6" s="1308">
        <v>7025</v>
      </c>
      <c r="D6" s="1310">
        <v>2557.3812030657277</v>
      </c>
      <c r="E6" s="1310">
        <v>2531.6681117906637</v>
      </c>
      <c r="F6" s="1310">
        <v>2531.6681117906637</v>
      </c>
      <c r="G6" s="1310">
        <v>3873.5700627080596</v>
      </c>
      <c r="H6" s="1310">
        <v>3569.8341720213671</v>
      </c>
      <c r="I6" s="1310">
        <v>3240.9208794611754</v>
      </c>
      <c r="J6" s="1313">
        <v>5266.3625067740195</v>
      </c>
      <c r="K6" s="1313">
        <v>4937.449214213827</v>
      </c>
      <c r="L6" s="1313">
        <v>4911.7361229387634</v>
      </c>
      <c r="M6" s="1313">
        <v>5468.8531005651475</v>
      </c>
      <c r="N6" s="1313">
        <v>5392.785205543084</v>
      </c>
      <c r="O6" s="1313">
        <v>5317.2529999225835</v>
      </c>
      <c r="P6" s="1313">
        <v>7798.5663079662472</v>
      </c>
      <c r="Q6" s="1313">
        <v>7798.5663079662472</v>
      </c>
      <c r="R6" s="1313">
        <v>7798.5663079662472</v>
      </c>
      <c r="S6" s="1313">
        <v>25597.132615932496</v>
      </c>
      <c r="T6" s="1313">
        <v>25597.132615932496</v>
      </c>
      <c r="U6" s="1313">
        <v>25597.132615932496</v>
      </c>
      <c r="V6" s="1312"/>
    </row>
    <row r="7" spans="1:22" x14ac:dyDescent="0.2">
      <c r="A7" s="1308" t="s">
        <v>1341</v>
      </c>
      <c r="B7" s="1309"/>
      <c r="C7" s="1308">
        <v>7024</v>
      </c>
      <c r="D7" s="1310">
        <v>3448.1001231697142</v>
      </c>
      <c r="E7" s="1310">
        <v>3413.4313326560678</v>
      </c>
      <c r="F7" s="1310">
        <v>3413.4313326560678</v>
      </c>
      <c r="G7" s="1310">
        <v>5222.7088375869707</v>
      </c>
      <c r="H7" s="1310">
        <v>4813.1837496445269</v>
      </c>
      <c r="I7" s="1310">
        <v>4369.7121376574714</v>
      </c>
      <c r="J7" s="1313">
        <v>7100.6016570761331</v>
      </c>
      <c r="K7" s="1313">
        <v>6657.1300450890767</v>
      </c>
      <c r="L7" s="1313">
        <v>6622.4612545754308</v>
      </c>
      <c r="M7" s="1313">
        <v>7373.6183823710953</v>
      </c>
      <c r="N7" s="1313">
        <v>7271.0565437682262</v>
      </c>
      <c r="O7" s="1313">
        <v>7169.2169716343906</v>
      </c>
      <c r="P7" s="1313">
        <v>12270.415256201235</v>
      </c>
      <c r="Q7" s="1313">
        <v>12270.415256201235</v>
      </c>
      <c r="R7" s="1313">
        <v>12270.415256201235</v>
      </c>
      <c r="S7" s="1313">
        <v>34540.83051240247</v>
      </c>
      <c r="T7" s="1313">
        <v>34540.83051240247</v>
      </c>
      <c r="U7" s="1313">
        <v>34540.83051240247</v>
      </c>
      <c r="V7" s="1312"/>
    </row>
    <row r="8" spans="1:22" x14ac:dyDescent="0.2">
      <c r="A8" s="1308" t="s">
        <v>1343</v>
      </c>
      <c r="B8" s="1309"/>
      <c r="C8" s="1308">
        <v>7021</v>
      </c>
      <c r="D8" s="1310">
        <v>3572.4153756519418</v>
      </c>
      <c r="E8" s="1310">
        <v>3536.4966621975441</v>
      </c>
      <c r="F8" s="1310">
        <v>3536.4966621975441</v>
      </c>
      <c r="G8" s="1310">
        <v>5411.0045205989081</v>
      </c>
      <c r="H8" s="1310">
        <v>4986.7147179188387</v>
      </c>
      <c r="I8" s="1310">
        <v>4527.2545083146724</v>
      </c>
      <c r="J8" s="1313">
        <v>7356.6014993787676</v>
      </c>
      <c r="K8" s="1313">
        <v>6897.1412897746004</v>
      </c>
      <c r="L8" s="1313">
        <v>6861.2225763202041</v>
      </c>
      <c r="M8" s="1313">
        <v>7639.4613678321475</v>
      </c>
      <c r="N8" s="1313">
        <v>7533.2018405295557</v>
      </c>
      <c r="O8" s="1313">
        <v>7427.6906197572634</v>
      </c>
      <c r="P8" s="1313">
        <v>10893.846468106613</v>
      </c>
      <c r="Q8" s="1313">
        <v>10893.846468106613</v>
      </c>
      <c r="R8" s="1313">
        <v>10893.846468106613</v>
      </c>
      <c r="S8" s="1313">
        <v>31787.692936213225</v>
      </c>
      <c r="T8" s="1313">
        <v>31787.692936213225</v>
      </c>
      <c r="U8" s="1313">
        <v>31787.692936213225</v>
      </c>
      <c r="V8" s="1312"/>
    </row>
    <row r="9" spans="1:22" x14ac:dyDescent="0.2">
      <c r="A9" s="1308" t="s">
        <v>1038</v>
      </c>
      <c r="B9" s="1309"/>
      <c r="C9" s="1308">
        <v>7029</v>
      </c>
      <c r="D9" s="1310">
        <v>6704.3171009638945</v>
      </c>
      <c r="E9" s="1310">
        <v>6636.9088016663936</v>
      </c>
      <c r="F9" s="1310">
        <v>6636.9088016663936</v>
      </c>
      <c r="G9" s="1310">
        <v>10154.779421254696</v>
      </c>
      <c r="H9" s="1310">
        <v>9358.5188858029724</v>
      </c>
      <c r="I9" s="1310">
        <v>8496.2543906224455</v>
      </c>
      <c r="J9" s="1313">
        <v>13806.062299869302</v>
      </c>
      <c r="K9" s="1313">
        <v>12943.797804688775</v>
      </c>
      <c r="L9" s="1313">
        <v>12876.389505391275</v>
      </c>
      <c r="M9" s="1313">
        <v>14336.902656837117</v>
      </c>
      <c r="N9" s="1313">
        <v>14137.486438082013</v>
      </c>
      <c r="O9" s="1313">
        <v>13939.474558895605</v>
      </c>
      <c r="P9" s="1313">
        <v>20444.375441104392</v>
      </c>
      <c r="Q9" s="1313">
        <v>20444.375441104392</v>
      </c>
      <c r="R9" s="1313">
        <v>20444.375441104392</v>
      </c>
      <c r="S9" s="1313">
        <v>50888.750882208784</v>
      </c>
      <c r="T9" s="1313">
        <v>50888.750882208784</v>
      </c>
      <c r="U9" s="1313">
        <v>50888.750882208784</v>
      </c>
      <c r="V9" s="1312"/>
    </row>
    <row r="10" spans="1:22" x14ac:dyDescent="0.2">
      <c r="A10" s="761" t="s">
        <v>1346</v>
      </c>
      <c r="B10" s="1309"/>
      <c r="C10" s="1308">
        <v>1104</v>
      </c>
      <c r="D10" s="1310">
        <v>15361.111111111111</v>
      </c>
      <c r="E10" s="1310">
        <v>15361.111111111111</v>
      </c>
      <c r="F10" s="1310"/>
      <c r="G10" s="1310">
        <v>15361.111111111111</v>
      </c>
      <c r="H10" s="1310">
        <v>15361.111111111111</v>
      </c>
      <c r="I10" s="1310"/>
      <c r="J10" s="1313">
        <v>15361.111111111111</v>
      </c>
      <c r="K10" s="1313">
        <v>15361.111111111111</v>
      </c>
      <c r="L10" s="1313"/>
      <c r="M10" s="1313">
        <v>15361.111111111111</v>
      </c>
      <c r="N10" s="1313">
        <v>15361.111111111111</v>
      </c>
      <c r="O10" s="1313"/>
      <c r="P10" s="1313">
        <v>15361.111111111111</v>
      </c>
      <c r="Q10" s="1313">
        <v>15361.111111111111</v>
      </c>
      <c r="R10" s="1313"/>
      <c r="S10" s="1313">
        <v>15361.111111111111</v>
      </c>
      <c r="T10" s="1313">
        <v>15361.111111111111</v>
      </c>
      <c r="U10" s="1313"/>
      <c r="V10" s="1312"/>
    </row>
    <row r="11" spans="1:22" x14ac:dyDescent="0.2">
      <c r="A11" s="761" t="s">
        <v>1345</v>
      </c>
      <c r="B11" s="1309"/>
      <c r="C11" s="1308">
        <v>1103</v>
      </c>
      <c r="D11" s="1310"/>
      <c r="E11" s="1310"/>
      <c r="F11" s="1310">
        <v>17555.580000000002</v>
      </c>
      <c r="G11" s="1310"/>
      <c r="H11" s="1310"/>
      <c r="I11" s="1310">
        <v>17555.580000000002</v>
      </c>
      <c r="J11" s="1313"/>
      <c r="K11" s="1313"/>
      <c r="L11" s="1313">
        <v>17555.580000000002</v>
      </c>
      <c r="M11" s="1313"/>
      <c r="N11" s="1313"/>
      <c r="O11" s="1313">
        <v>17555.580000000002</v>
      </c>
      <c r="P11" s="1313"/>
      <c r="Q11" s="1313"/>
      <c r="R11" s="1313">
        <v>17555.580000000002</v>
      </c>
      <c r="S11" s="1313"/>
      <c r="T11" s="1313"/>
      <c r="U11" s="1313">
        <v>17555.580000000002</v>
      </c>
      <c r="V11" s="1312"/>
    </row>
    <row r="12" spans="1:22" x14ac:dyDescent="0.2">
      <c r="A12" s="741"/>
      <c r="B12" s="1153"/>
      <c r="C12" s="1154"/>
    </row>
    <row r="13" spans="1:22" s="3" customFormat="1" x14ac:dyDescent="0.2">
      <c r="A13" s="1064" t="s">
        <v>1463</v>
      </c>
      <c r="B13" s="1317"/>
      <c r="C13" s="1327"/>
      <c r="D13" s="1064" t="s">
        <v>1438</v>
      </c>
      <c r="E13" s="1064" t="s">
        <v>1438</v>
      </c>
      <c r="F13" s="1064" t="s">
        <v>1438</v>
      </c>
      <c r="G13" s="1064" t="s">
        <v>1394</v>
      </c>
      <c r="H13" s="1064" t="s">
        <v>1394</v>
      </c>
      <c r="I13" s="1064" t="s">
        <v>1394</v>
      </c>
      <c r="J13" s="1317" t="s">
        <v>1371</v>
      </c>
      <c r="K13" s="1317" t="s">
        <v>1371</v>
      </c>
      <c r="L13" s="1317" t="s">
        <v>1371</v>
      </c>
      <c r="M13" s="1317" t="s">
        <v>1372</v>
      </c>
      <c r="N13" s="1317" t="s">
        <v>1372</v>
      </c>
      <c r="O13" s="1317" t="s">
        <v>1372</v>
      </c>
      <c r="P13" s="1317" t="s">
        <v>1373</v>
      </c>
      <c r="Q13" s="1317" t="s">
        <v>1373</v>
      </c>
      <c r="R13" s="1317" t="s">
        <v>1373</v>
      </c>
      <c r="S13" s="1317" t="s">
        <v>1374</v>
      </c>
      <c r="T13" s="1317" t="s">
        <v>1374</v>
      </c>
      <c r="U13" s="1317" t="s">
        <v>1374</v>
      </c>
      <c r="V13" s="1317" t="s">
        <v>633</v>
      </c>
    </row>
    <row r="14" spans="1:22" s="3" customFormat="1" x14ac:dyDescent="0.2">
      <c r="A14" s="1328"/>
      <c r="B14" s="1319"/>
      <c r="C14" s="1319" t="s">
        <v>1406</v>
      </c>
      <c r="D14" s="1064" t="s">
        <v>1439</v>
      </c>
      <c r="E14" s="1064" t="s">
        <v>1440</v>
      </c>
      <c r="F14" s="1064" t="s">
        <v>1441</v>
      </c>
      <c r="G14" s="1064" t="s">
        <v>1439</v>
      </c>
      <c r="H14" s="1064" t="s">
        <v>1440</v>
      </c>
      <c r="I14" s="1064" t="s">
        <v>1441</v>
      </c>
      <c r="J14" s="1317" t="s">
        <v>1439</v>
      </c>
      <c r="K14" s="1317" t="s">
        <v>1440</v>
      </c>
      <c r="L14" s="1317" t="s">
        <v>1441</v>
      </c>
      <c r="M14" s="1317" t="s">
        <v>1439</v>
      </c>
      <c r="N14" s="1317" t="s">
        <v>1440</v>
      </c>
      <c r="O14" s="1317" t="s">
        <v>1441</v>
      </c>
      <c r="P14" s="1317" t="s">
        <v>1439</v>
      </c>
      <c r="Q14" s="1317" t="s">
        <v>1440</v>
      </c>
      <c r="R14" s="1317" t="s">
        <v>1441</v>
      </c>
      <c r="S14" s="1317" t="s">
        <v>1439</v>
      </c>
      <c r="T14" s="1317" t="s">
        <v>1440</v>
      </c>
      <c r="U14" s="1317" t="s">
        <v>1441</v>
      </c>
      <c r="V14" s="1317"/>
    </row>
    <row r="15" spans="1:22" x14ac:dyDescent="0.2">
      <c r="A15" s="1062" t="s">
        <v>1335</v>
      </c>
      <c r="B15" s="1320"/>
      <c r="C15" s="1062">
        <v>7026</v>
      </c>
      <c r="D15" s="1062"/>
      <c r="E15" s="1062"/>
      <c r="F15" s="1062"/>
      <c r="G15" s="1062"/>
      <c r="H15" s="1062"/>
      <c r="I15" s="1062"/>
      <c r="J15" s="737"/>
      <c r="K15" s="737"/>
      <c r="L15" s="737"/>
      <c r="M15" s="737">
        <v>2</v>
      </c>
      <c r="N15" s="737">
        <v>4</v>
      </c>
      <c r="O15" s="737">
        <v>2</v>
      </c>
      <c r="P15" s="737">
        <v>17</v>
      </c>
      <c r="Q15" s="737">
        <v>19</v>
      </c>
      <c r="R15" s="737">
        <v>33</v>
      </c>
      <c r="S15" s="737">
        <v>1</v>
      </c>
      <c r="T15" s="737">
        <v>1</v>
      </c>
      <c r="U15" s="737">
        <v>1</v>
      </c>
      <c r="V15" s="1317">
        <v>80</v>
      </c>
    </row>
    <row r="16" spans="1:22" x14ac:dyDescent="0.2">
      <c r="A16" s="1062" t="s">
        <v>1337</v>
      </c>
      <c r="B16" s="1320"/>
      <c r="C16" s="1062">
        <v>7027</v>
      </c>
      <c r="D16" s="1062"/>
      <c r="E16" s="1062"/>
      <c r="F16" s="1062"/>
      <c r="G16" s="1062"/>
      <c r="H16" s="1062"/>
      <c r="I16" s="1062"/>
      <c r="J16" s="737"/>
      <c r="K16" s="737"/>
      <c r="L16" s="737">
        <v>6</v>
      </c>
      <c r="M16" s="737"/>
      <c r="N16" s="737"/>
      <c r="O16" s="737">
        <v>47</v>
      </c>
      <c r="P16" s="737"/>
      <c r="Q16" s="737"/>
      <c r="R16" s="737">
        <v>31</v>
      </c>
      <c r="S16" s="737"/>
      <c r="T16" s="737"/>
      <c r="U16" s="737">
        <v>4</v>
      </c>
      <c r="V16" s="1317">
        <v>88</v>
      </c>
    </row>
    <row r="17" spans="1:22" x14ac:dyDescent="0.2">
      <c r="A17" s="1062" t="s">
        <v>1339</v>
      </c>
      <c r="B17" s="1320"/>
      <c r="C17" s="1062">
        <v>7025</v>
      </c>
      <c r="D17" s="1062"/>
      <c r="E17" s="1062"/>
      <c r="F17" s="1062"/>
      <c r="G17" s="1062"/>
      <c r="H17" s="1062"/>
      <c r="I17" s="1062">
        <v>12</v>
      </c>
      <c r="J17" s="737"/>
      <c r="K17" s="737"/>
      <c r="L17" s="737">
        <v>61</v>
      </c>
      <c r="M17" s="737"/>
      <c r="N17" s="737"/>
      <c r="O17" s="737">
        <v>14</v>
      </c>
      <c r="P17" s="737"/>
      <c r="Q17" s="737"/>
      <c r="R17" s="737">
        <v>2</v>
      </c>
      <c r="S17" s="737"/>
      <c r="T17" s="737"/>
      <c r="U17" s="737"/>
      <c r="V17" s="1317">
        <v>89</v>
      </c>
    </row>
    <row r="18" spans="1:22" x14ac:dyDescent="0.2">
      <c r="A18" s="1062" t="s">
        <v>1341</v>
      </c>
      <c r="B18" s="1320"/>
      <c r="C18" s="1062">
        <v>7024</v>
      </c>
      <c r="D18" s="1062"/>
      <c r="E18" s="1062"/>
      <c r="F18" s="1062"/>
      <c r="G18" s="1062"/>
      <c r="H18" s="1062"/>
      <c r="I18" s="1062"/>
      <c r="J18" s="737"/>
      <c r="K18" s="737">
        <v>2</v>
      </c>
      <c r="L18" s="737"/>
      <c r="M18" s="737">
        <v>20</v>
      </c>
      <c r="N18" s="737">
        <v>30</v>
      </c>
      <c r="O18" s="737"/>
      <c r="P18" s="737">
        <v>8</v>
      </c>
      <c r="Q18" s="737">
        <v>26</v>
      </c>
      <c r="R18" s="737"/>
      <c r="S18" s="737"/>
      <c r="T18" s="737">
        <v>3</v>
      </c>
      <c r="U18" s="737"/>
      <c r="V18" s="1317">
        <v>89</v>
      </c>
    </row>
    <row r="19" spans="1:22" x14ac:dyDescent="0.2">
      <c r="A19" s="1062" t="s">
        <v>1343</v>
      </c>
      <c r="B19" s="1320"/>
      <c r="C19" s="1062">
        <v>7021</v>
      </c>
      <c r="D19" s="1062"/>
      <c r="E19" s="1062"/>
      <c r="F19" s="1062"/>
      <c r="G19" s="1062"/>
      <c r="H19" s="1062"/>
      <c r="I19" s="1062"/>
      <c r="J19" s="737"/>
      <c r="K19" s="737"/>
      <c r="L19" s="737">
        <v>20</v>
      </c>
      <c r="M19" s="737"/>
      <c r="N19" s="737"/>
      <c r="O19" s="737">
        <v>40</v>
      </c>
      <c r="P19" s="737"/>
      <c r="Q19" s="737"/>
      <c r="R19" s="737">
        <v>26</v>
      </c>
      <c r="S19" s="737"/>
      <c r="T19" s="737"/>
      <c r="U19" s="737">
        <v>5</v>
      </c>
      <c r="V19" s="1317">
        <v>91</v>
      </c>
    </row>
    <row r="20" spans="1:22" x14ac:dyDescent="0.2">
      <c r="A20" s="1062" t="s">
        <v>1038</v>
      </c>
      <c r="B20" s="1320"/>
      <c r="C20" s="1062">
        <v>7029</v>
      </c>
      <c r="D20" s="1062"/>
      <c r="E20" s="1062"/>
      <c r="F20" s="1062"/>
      <c r="G20" s="1062"/>
      <c r="H20" s="1062"/>
      <c r="I20" s="1062"/>
      <c r="J20" s="737"/>
      <c r="K20" s="737"/>
      <c r="L20" s="737"/>
      <c r="M20" s="737"/>
      <c r="N20" s="737"/>
      <c r="O20" s="737">
        <v>40</v>
      </c>
      <c r="P20" s="737"/>
      <c r="Q20" s="737"/>
      <c r="R20" s="737">
        <v>40</v>
      </c>
      <c r="S20" s="737"/>
      <c r="T20" s="737"/>
      <c r="U20" s="737"/>
      <c r="V20" s="1317">
        <v>80</v>
      </c>
    </row>
    <row r="21" spans="1:22" x14ac:dyDescent="0.2">
      <c r="A21" s="1061" t="s">
        <v>1346</v>
      </c>
      <c r="B21" s="1320"/>
      <c r="C21" s="1062">
        <v>1104</v>
      </c>
      <c r="D21" s="1062">
        <v>18</v>
      </c>
      <c r="E21" s="1062"/>
      <c r="F21" s="1062"/>
      <c r="G21" s="1062">
        <v>18</v>
      </c>
      <c r="H21" s="1062"/>
      <c r="I21" s="1062"/>
      <c r="J21" s="737"/>
      <c r="K21" s="737"/>
      <c r="L21" s="737"/>
      <c r="M21" s="737"/>
      <c r="N21" s="737"/>
      <c r="O21" s="737"/>
      <c r="P21" s="737"/>
      <c r="Q21" s="737"/>
      <c r="R21" s="737"/>
      <c r="S21" s="737"/>
      <c r="T21" s="737"/>
      <c r="U21" s="737"/>
      <c r="V21" s="1317">
        <v>36</v>
      </c>
    </row>
    <row r="22" spans="1:22" x14ac:dyDescent="0.2">
      <c r="A22" s="1061" t="s">
        <v>1345</v>
      </c>
      <c r="B22" s="1320"/>
      <c r="C22" s="1062">
        <v>1103</v>
      </c>
      <c r="D22" s="1062"/>
      <c r="E22" s="1062"/>
      <c r="F22" s="1062">
        <v>20</v>
      </c>
      <c r="G22" s="1062"/>
      <c r="H22" s="1062"/>
      <c r="I22" s="1062">
        <v>20</v>
      </c>
      <c r="J22" s="737"/>
      <c r="K22" s="737"/>
      <c r="L22" s="737">
        <v>20</v>
      </c>
      <c r="M22" s="737"/>
      <c r="N22" s="737"/>
      <c r="O22" s="737"/>
      <c r="P22" s="737"/>
      <c r="Q22" s="737"/>
      <c r="R22" s="737"/>
      <c r="S22" s="737"/>
      <c r="T22" s="737"/>
      <c r="U22" s="737"/>
      <c r="V22" s="1317">
        <v>60</v>
      </c>
    </row>
    <row r="23" spans="1:22" x14ac:dyDescent="0.2">
      <c r="A23" s="1061" t="s">
        <v>1347</v>
      </c>
      <c r="B23" s="1320"/>
      <c r="C23" s="1323" t="s">
        <v>931</v>
      </c>
      <c r="D23" s="1064">
        <v>18</v>
      </c>
      <c r="E23" s="1064">
        <v>0</v>
      </c>
      <c r="F23" s="1064">
        <v>20</v>
      </c>
      <c r="G23" s="1064">
        <v>18</v>
      </c>
      <c r="H23" s="1064">
        <v>0</v>
      </c>
      <c r="I23" s="1064">
        <v>32</v>
      </c>
      <c r="J23" s="1317">
        <v>0</v>
      </c>
      <c r="K23" s="1317">
        <v>2</v>
      </c>
      <c r="L23" s="1317">
        <v>107</v>
      </c>
      <c r="M23" s="1317">
        <v>22</v>
      </c>
      <c r="N23" s="1317">
        <v>34</v>
      </c>
      <c r="O23" s="1317">
        <v>143</v>
      </c>
      <c r="P23" s="1317">
        <v>25</v>
      </c>
      <c r="Q23" s="1317">
        <v>45</v>
      </c>
      <c r="R23" s="1317">
        <v>132</v>
      </c>
      <c r="S23" s="1317">
        <v>1</v>
      </c>
      <c r="T23" s="1317">
        <v>4</v>
      </c>
      <c r="U23" s="1317">
        <v>10</v>
      </c>
      <c r="V23" s="1317">
        <v>613</v>
      </c>
    </row>
    <row r="24" spans="1:22" s="1174" customFormat="1" x14ac:dyDescent="0.2">
      <c r="A24" s="741"/>
      <c r="B24" s="1153"/>
      <c r="C24" s="1154"/>
      <c r="J24" s="1193"/>
      <c r="K24" s="1193"/>
      <c r="L24" s="1193"/>
      <c r="M24" s="1193"/>
      <c r="N24" s="1193"/>
      <c r="O24" s="1193"/>
      <c r="P24" s="1193"/>
      <c r="Q24" s="1193"/>
      <c r="R24" s="1193"/>
      <c r="S24" s="1193"/>
      <c r="T24" s="1193"/>
      <c r="U24" s="1193"/>
      <c r="V24" s="1193"/>
    </row>
    <row r="25" spans="1:22" s="1076" customFormat="1" x14ac:dyDescent="0.2">
      <c r="A25" s="1187"/>
      <c r="B25" s="28"/>
      <c r="C25" s="28"/>
    </row>
    <row r="26" spans="1:22" s="1076" customFormat="1" x14ac:dyDescent="0.2">
      <c r="A26" s="1187" t="s">
        <v>1464</v>
      </c>
      <c r="D26" s="3" t="s">
        <v>1438</v>
      </c>
      <c r="E26" s="3" t="s">
        <v>1438</v>
      </c>
      <c r="F26" s="3" t="s">
        <v>1438</v>
      </c>
      <c r="G26" s="3" t="s">
        <v>1394</v>
      </c>
      <c r="H26" s="3" t="s">
        <v>1394</v>
      </c>
      <c r="I26" s="3" t="s">
        <v>1394</v>
      </c>
      <c r="J26" s="1076" t="s">
        <v>1371</v>
      </c>
      <c r="K26" s="1076" t="s">
        <v>1371</v>
      </c>
      <c r="L26" s="1076" t="s">
        <v>1371</v>
      </c>
      <c r="M26" s="1076" t="s">
        <v>1372</v>
      </c>
      <c r="N26" s="1076" t="s">
        <v>1372</v>
      </c>
      <c r="O26" s="1076" t="s">
        <v>1372</v>
      </c>
      <c r="P26" s="1076" t="s">
        <v>1373</v>
      </c>
      <c r="Q26" s="1076" t="s">
        <v>1373</v>
      </c>
      <c r="R26" s="1076" t="s">
        <v>1373</v>
      </c>
      <c r="S26" s="1076" t="s">
        <v>1374</v>
      </c>
      <c r="T26" s="1076" t="s">
        <v>1374</v>
      </c>
      <c r="U26" s="1076" t="s">
        <v>1374</v>
      </c>
    </row>
    <row r="27" spans="1:22" s="1076" customFormat="1" x14ac:dyDescent="0.2">
      <c r="A27" s="17"/>
      <c r="B27" s="699"/>
      <c r="C27" s="699" t="s">
        <v>1406</v>
      </c>
      <c r="D27" s="3" t="s">
        <v>1439</v>
      </c>
      <c r="E27" s="3" t="s">
        <v>1440</v>
      </c>
      <c r="F27" s="3" t="s">
        <v>1441</v>
      </c>
      <c r="G27" s="3" t="s">
        <v>1439</v>
      </c>
      <c r="H27" s="3" t="s">
        <v>1440</v>
      </c>
      <c r="I27" s="3" t="s">
        <v>1441</v>
      </c>
      <c r="J27" s="1076" t="s">
        <v>1439</v>
      </c>
      <c r="K27" s="1076" t="s">
        <v>1440</v>
      </c>
      <c r="L27" s="1076" t="s">
        <v>1441</v>
      </c>
      <c r="M27" s="1076" t="s">
        <v>1439</v>
      </c>
      <c r="N27" s="1076" t="s">
        <v>1440</v>
      </c>
      <c r="O27" s="1076" t="s">
        <v>1441</v>
      </c>
      <c r="P27" s="1076" t="s">
        <v>1439</v>
      </c>
      <c r="Q27" s="1076" t="s">
        <v>1440</v>
      </c>
      <c r="R27" s="1076" t="s">
        <v>1441</v>
      </c>
      <c r="S27" s="1076" t="s">
        <v>1439</v>
      </c>
      <c r="T27" s="1076" t="s">
        <v>1440</v>
      </c>
      <c r="U27" s="1076" t="s">
        <v>1441</v>
      </c>
    </row>
    <row r="28" spans="1:22" s="1174" customFormat="1" x14ac:dyDescent="0.2">
      <c r="A28" t="s">
        <v>1335</v>
      </c>
      <c r="B28" s="1153"/>
      <c r="C28">
        <v>7026</v>
      </c>
      <c r="D28" s="1153"/>
      <c r="J28" s="1193"/>
      <c r="K28" s="1193"/>
      <c r="L28" s="1193"/>
      <c r="M28" s="1193"/>
      <c r="N28" s="1193"/>
      <c r="O28" s="1193">
        <v>2</v>
      </c>
      <c r="P28" s="1193"/>
      <c r="Q28" s="1193"/>
      <c r="R28" s="1193">
        <v>3</v>
      </c>
      <c r="S28" s="1193"/>
      <c r="T28" s="1193"/>
      <c r="U28" s="1193"/>
      <c r="V28" s="1076">
        <v>5</v>
      </c>
    </row>
    <row r="29" spans="1:22" s="1174" customFormat="1" x14ac:dyDescent="0.2">
      <c r="A29" t="s">
        <v>1337</v>
      </c>
      <c r="B29" s="1153"/>
      <c r="C29">
        <v>7027</v>
      </c>
      <c r="J29" s="1193"/>
      <c r="K29" s="1193"/>
      <c r="L29" s="1193"/>
      <c r="M29" s="1193"/>
      <c r="N29" s="1193"/>
      <c r="O29" s="1193">
        <v>3</v>
      </c>
      <c r="P29" s="1193"/>
      <c r="Q29" s="1193"/>
      <c r="R29" s="1193">
        <v>1</v>
      </c>
      <c r="S29" s="1193"/>
      <c r="T29" s="1193"/>
      <c r="U29" s="1193"/>
      <c r="V29" s="1076">
        <v>4</v>
      </c>
    </row>
    <row r="30" spans="1:22" s="1174" customFormat="1" x14ac:dyDescent="0.2">
      <c r="A30" t="s">
        <v>1339</v>
      </c>
      <c r="B30" s="1153"/>
      <c r="C30">
        <v>7025</v>
      </c>
      <c r="J30" s="1193"/>
      <c r="K30" s="1193"/>
      <c r="L30" s="1193">
        <v>2</v>
      </c>
      <c r="M30" s="1193"/>
      <c r="N30" s="1193"/>
      <c r="O30" s="1193">
        <v>4</v>
      </c>
      <c r="P30" s="1193"/>
      <c r="Q30" s="1193"/>
      <c r="R30" s="1193"/>
      <c r="S30" s="1193"/>
      <c r="T30" s="1193"/>
      <c r="U30" s="1193"/>
      <c r="V30" s="1076">
        <v>6</v>
      </c>
    </row>
    <row r="31" spans="1:22" s="1174" customFormat="1" x14ac:dyDescent="0.2">
      <c r="A31" t="s">
        <v>1341</v>
      </c>
      <c r="B31" s="1153"/>
      <c r="C31">
        <v>7024</v>
      </c>
      <c r="J31" s="1193"/>
      <c r="K31" s="1193"/>
      <c r="L31" s="1193"/>
      <c r="M31" s="1193"/>
      <c r="N31" s="1193"/>
      <c r="O31" s="1193"/>
      <c r="P31" s="1193"/>
      <c r="Q31" s="1193"/>
      <c r="R31" s="1193"/>
      <c r="S31" s="1193"/>
      <c r="T31" s="1193"/>
      <c r="U31" s="1193"/>
      <c r="V31" s="1076">
        <v>0</v>
      </c>
    </row>
    <row r="32" spans="1:22" s="1174" customFormat="1" x14ac:dyDescent="0.2">
      <c r="A32" t="s">
        <v>1343</v>
      </c>
      <c r="B32" s="1153"/>
      <c r="C32">
        <v>7021</v>
      </c>
      <c r="J32" s="1193"/>
      <c r="K32" s="1193"/>
      <c r="L32" s="1193">
        <v>1</v>
      </c>
      <c r="M32" s="1193"/>
      <c r="N32" s="1193"/>
      <c r="O32" s="1193"/>
      <c r="P32" s="1193"/>
      <c r="Q32" s="1193"/>
      <c r="R32" s="1193"/>
      <c r="S32" s="1193"/>
      <c r="T32" s="1193"/>
      <c r="U32" s="1193"/>
      <c r="V32" s="1076">
        <v>1</v>
      </c>
    </row>
    <row r="33" spans="1:23" s="1174" customFormat="1" x14ac:dyDescent="0.2">
      <c r="A33" t="s">
        <v>1038</v>
      </c>
      <c r="B33" s="1153"/>
      <c r="C33">
        <v>7029</v>
      </c>
      <c r="J33" s="1193"/>
      <c r="K33" s="1193"/>
      <c r="L33" s="1193"/>
      <c r="M33" s="1193"/>
      <c r="N33" s="1193"/>
      <c r="O33" s="1193"/>
      <c r="P33" s="1193"/>
      <c r="Q33" s="1193"/>
      <c r="R33" s="1193"/>
      <c r="S33" s="1193"/>
      <c r="T33" s="1193"/>
      <c r="U33" s="1193"/>
      <c r="V33" s="1076">
        <v>0</v>
      </c>
    </row>
    <row r="34" spans="1:23" s="1174" customFormat="1" x14ac:dyDescent="0.2">
      <c r="A34" s="741" t="s">
        <v>1346</v>
      </c>
      <c r="B34" s="1153"/>
      <c r="C34">
        <v>1104</v>
      </c>
      <c r="J34" s="1193"/>
      <c r="K34" s="1193"/>
      <c r="L34" s="1193"/>
      <c r="M34" s="1193"/>
      <c r="N34" s="1193"/>
      <c r="O34" s="1193"/>
      <c r="P34" s="1193"/>
      <c r="Q34" s="1193"/>
      <c r="R34" s="1193"/>
      <c r="S34" s="1193"/>
      <c r="T34" s="1193"/>
      <c r="U34" s="1193"/>
      <c r="V34" s="1076">
        <v>0</v>
      </c>
    </row>
    <row r="35" spans="1:23" s="1174" customFormat="1" x14ac:dyDescent="0.2">
      <c r="A35" s="741" t="s">
        <v>1345</v>
      </c>
      <c r="B35" s="1153"/>
      <c r="C35">
        <v>1103</v>
      </c>
      <c r="J35" s="1193"/>
      <c r="K35" s="1193"/>
      <c r="L35" s="1193"/>
      <c r="M35" s="1193"/>
      <c r="N35" s="1193"/>
      <c r="O35" s="1193"/>
      <c r="P35" s="1193"/>
      <c r="Q35" s="1193"/>
      <c r="R35" s="1193"/>
      <c r="S35" s="1193"/>
      <c r="T35" s="1193"/>
      <c r="U35" s="1193"/>
      <c r="V35" s="1076">
        <v>0</v>
      </c>
    </row>
    <row r="36" spans="1:23" s="1174" customFormat="1" x14ac:dyDescent="0.2">
      <c r="A36" s="741" t="s">
        <v>1347</v>
      </c>
      <c r="B36" s="1153"/>
      <c r="C36" s="1154" t="s">
        <v>931</v>
      </c>
      <c r="D36" s="3">
        <v>0</v>
      </c>
      <c r="E36" s="3">
        <v>0</v>
      </c>
      <c r="F36" s="3">
        <v>0</v>
      </c>
      <c r="G36" s="3">
        <v>0</v>
      </c>
      <c r="H36" s="3">
        <v>0</v>
      </c>
      <c r="I36" s="3">
        <v>0</v>
      </c>
      <c r="J36" s="1076">
        <v>0</v>
      </c>
      <c r="K36" s="1076">
        <v>0</v>
      </c>
      <c r="L36" s="1076">
        <v>3</v>
      </c>
      <c r="M36" s="1076">
        <v>0</v>
      </c>
      <c r="N36" s="1076">
        <v>0</v>
      </c>
      <c r="O36" s="1076">
        <v>9</v>
      </c>
      <c r="P36" s="1076">
        <v>0</v>
      </c>
      <c r="Q36" s="1076">
        <v>0</v>
      </c>
      <c r="R36" s="1076">
        <v>4</v>
      </c>
      <c r="S36" s="1076">
        <v>0</v>
      </c>
      <c r="T36" s="1076">
        <v>0</v>
      </c>
      <c r="U36" s="1076">
        <v>0</v>
      </c>
      <c r="V36" s="1076">
        <v>16</v>
      </c>
    </row>
    <row r="37" spans="1:23" s="1174" customFormat="1" x14ac:dyDescent="0.2">
      <c r="A37" s="741"/>
      <c r="B37" s="1153"/>
      <c r="C37" s="1154"/>
      <c r="J37" s="1193"/>
      <c r="K37" s="1193"/>
      <c r="L37" s="1193"/>
      <c r="M37" s="1193"/>
      <c r="N37" s="1193"/>
      <c r="O37" s="1193"/>
      <c r="P37" s="1193"/>
      <c r="Q37" s="1193"/>
      <c r="R37" s="1193"/>
      <c r="S37" s="1193"/>
      <c r="T37" s="1193"/>
      <c r="U37" s="1193"/>
      <c r="V37" s="1193"/>
    </row>
    <row r="38" spans="1:23" s="1174" customFormat="1" x14ac:dyDescent="0.2">
      <c r="A38" s="701" t="s">
        <v>1443</v>
      </c>
      <c r="B38" s="793"/>
      <c r="C38" s="793"/>
      <c r="D38" s="1174">
        <v>18</v>
      </c>
      <c r="E38" s="1174">
        <v>0</v>
      </c>
      <c r="F38" s="1174">
        <v>20</v>
      </c>
      <c r="G38" s="1174">
        <v>18</v>
      </c>
      <c r="H38" s="1174">
        <v>0</v>
      </c>
      <c r="I38" s="1174">
        <v>32</v>
      </c>
      <c r="J38" s="1193">
        <v>0</v>
      </c>
      <c r="K38" s="1193">
        <v>2</v>
      </c>
      <c r="L38" s="1193">
        <v>110</v>
      </c>
      <c r="M38" s="1193">
        <v>22</v>
      </c>
      <c r="N38" s="1193">
        <v>34</v>
      </c>
      <c r="O38" s="1193">
        <v>152</v>
      </c>
      <c r="P38" s="1193">
        <v>25</v>
      </c>
      <c r="Q38" s="1193">
        <v>45</v>
      </c>
      <c r="R38" s="1193">
        <v>136</v>
      </c>
      <c r="S38" s="1193">
        <v>1</v>
      </c>
      <c r="T38" s="1193">
        <v>4</v>
      </c>
      <c r="U38" s="1193">
        <v>10</v>
      </c>
      <c r="V38" s="1193">
        <v>629</v>
      </c>
    </row>
    <row r="39" spans="1:23" s="1174" customFormat="1" x14ac:dyDescent="0.2">
      <c r="A39" s="241"/>
      <c r="B39" s="793"/>
      <c r="C39" s="793"/>
      <c r="J39" s="1193"/>
      <c r="K39" s="1193"/>
      <c r="L39" s="1193"/>
      <c r="M39" s="1193"/>
      <c r="N39" s="1193"/>
      <c r="O39" s="1193"/>
      <c r="P39" s="1193"/>
      <c r="Q39" s="1193"/>
      <c r="R39" s="1193"/>
      <c r="S39" s="1193"/>
      <c r="T39" s="1193"/>
      <c r="U39" s="1193"/>
      <c r="V39" s="1193"/>
    </row>
    <row r="40" spans="1:23" s="1174" customFormat="1" x14ac:dyDescent="0.2">
      <c r="A40" s="241"/>
      <c r="B40" s="793"/>
      <c r="C40" s="793"/>
      <c r="J40" s="1193"/>
      <c r="K40" s="1193"/>
      <c r="L40" s="1193"/>
      <c r="M40" s="1193"/>
      <c r="N40" s="1193"/>
      <c r="O40" s="1193"/>
      <c r="P40" s="1193"/>
      <c r="Q40" s="1193"/>
      <c r="R40" s="1193"/>
      <c r="S40" s="1193"/>
      <c r="T40" s="1193"/>
      <c r="U40" s="1193"/>
      <c r="V40" s="1193"/>
      <c r="W40" s="36"/>
    </row>
    <row r="41" spans="1:23" s="1174" customFormat="1" x14ac:dyDescent="0.2">
      <c r="A41" s="241"/>
      <c r="B41" s="793"/>
      <c r="C41" s="793"/>
      <c r="J41" s="1193"/>
      <c r="K41" s="1193"/>
      <c r="L41" s="1193"/>
      <c r="M41" s="1193"/>
      <c r="N41" s="1193"/>
      <c r="O41" s="1193"/>
      <c r="P41" s="1193"/>
      <c r="Q41" s="1193"/>
      <c r="R41" s="1193"/>
      <c r="S41" s="1193"/>
      <c r="T41" s="1193"/>
      <c r="U41" s="1193"/>
      <c r="V41" s="1193"/>
      <c r="W41" s="36"/>
    </row>
    <row r="42" spans="1:23" s="1076" customFormat="1" x14ac:dyDescent="0.2">
      <c r="A42" s="1315" t="s">
        <v>1465</v>
      </c>
      <c r="B42" s="1316"/>
      <c r="C42" s="1316"/>
      <c r="D42" s="1064" t="s">
        <v>1438</v>
      </c>
      <c r="E42" s="1064" t="s">
        <v>1438</v>
      </c>
      <c r="F42" s="1064" t="s">
        <v>1438</v>
      </c>
      <c r="G42" s="1064" t="s">
        <v>1394</v>
      </c>
      <c r="H42" s="1064" t="s">
        <v>1394</v>
      </c>
      <c r="I42" s="1064" t="s">
        <v>1394</v>
      </c>
      <c r="J42" s="1317" t="s">
        <v>1371</v>
      </c>
      <c r="K42" s="1317" t="s">
        <v>1371</v>
      </c>
      <c r="L42" s="1317" t="s">
        <v>1371</v>
      </c>
      <c r="M42" s="1317" t="s">
        <v>1372</v>
      </c>
      <c r="N42" s="1317" t="s">
        <v>1372</v>
      </c>
      <c r="O42" s="1317" t="s">
        <v>1372</v>
      </c>
      <c r="P42" s="1317" t="s">
        <v>1373</v>
      </c>
      <c r="Q42" s="1317" t="s">
        <v>1373</v>
      </c>
      <c r="R42" s="1317" t="s">
        <v>1373</v>
      </c>
      <c r="S42" s="1317" t="s">
        <v>1374</v>
      </c>
      <c r="T42" s="1317" t="s">
        <v>1374</v>
      </c>
      <c r="U42" s="1317" t="s">
        <v>1374</v>
      </c>
      <c r="V42" s="1317"/>
      <c r="W42" s="15"/>
    </row>
    <row r="43" spans="1:23" s="1076" customFormat="1" x14ac:dyDescent="0.2">
      <c r="A43" s="1315" t="s">
        <v>1444</v>
      </c>
      <c r="B43" s="1316"/>
      <c r="C43" s="1316"/>
      <c r="D43" s="1064" t="s">
        <v>1439</v>
      </c>
      <c r="E43" s="1064" t="s">
        <v>1440</v>
      </c>
      <c r="F43" s="1064" t="s">
        <v>1441</v>
      </c>
      <c r="G43" s="1064" t="s">
        <v>1439</v>
      </c>
      <c r="H43" s="1064" t="s">
        <v>1440</v>
      </c>
      <c r="I43" s="1064" t="s">
        <v>1441</v>
      </c>
      <c r="J43" s="1317" t="s">
        <v>1439</v>
      </c>
      <c r="K43" s="1317" t="s">
        <v>1440</v>
      </c>
      <c r="L43" s="1317" t="s">
        <v>1441</v>
      </c>
      <c r="M43" s="1317" t="s">
        <v>1439</v>
      </c>
      <c r="N43" s="1317" t="s">
        <v>1440</v>
      </c>
      <c r="O43" s="1317" t="s">
        <v>1441</v>
      </c>
      <c r="P43" s="1317" t="s">
        <v>1439</v>
      </c>
      <c r="Q43" s="1317" t="s">
        <v>1440</v>
      </c>
      <c r="R43" s="1317" t="s">
        <v>1441</v>
      </c>
      <c r="S43" s="1317" t="s">
        <v>1439</v>
      </c>
      <c r="T43" s="1317" t="s">
        <v>1440</v>
      </c>
      <c r="U43" s="1317" t="s">
        <v>1441</v>
      </c>
      <c r="V43" s="1317"/>
      <c r="W43" s="15"/>
    </row>
    <row r="44" spans="1:23" s="1174" customFormat="1" x14ac:dyDescent="0.2">
      <c r="A44" s="1318"/>
      <c r="B44" s="739"/>
      <c r="C44" s="1319" t="s">
        <v>1406</v>
      </c>
      <c r="D44" s="737"/>
      <c r="E44" s="737"/>
      <c r="F44" s="737"/>
      <c r="G44" s="737"/>
      <c r="H44" s="737"/>
      <c r="I44" s="737"/>
      <c r="J44" s="737"/>
      <c r="K44" s="737"/>
      <c r="L44" s="737"/>
      <c r="M44" s="737"/>
      <c r="N44" s="737"/>
      <c r="O44" s="737"/>
      <c r="P44" s="737"/>
      <c r="Q44" s="737"/>
      <c r="R44" s="737"/>
      <c r="S44" s="737"/>
      <c r="T44" s="737"/>
      <c r="U44" s="737"/>
      <c r="V44" s="737"/>
      <c r="W44" s="36"/>
    </row>
    <row r="45" spans="1:23" s="1174" customFormat="1" x14ac:dyDescent="0.2">
      <c r="A45" s="1062" t="s">
        <v>1335</v>
      </c>
      <c r="B45" s="1320"/>
      <c r="C45" s="1062">
        <v>7026</v>
      </c>
      <c r="D45" s="1321">
        <v>0</v>
      </c>
      <c r="E45" s="1321">
        <v>0</v>
      </c>
      <c r="F45" s="1321">
        <v>0</v>
      </c>
      <c r="G45" s="1321">
        <v>0</v>
      </c>
      <c r="H45" s="1321">
        <v>0</v>
      </c>
      <c r="I45" s="1321">
        <v>0</v>
      </c>
      <c r="J45" s="1321">
        <v>0</v>
      </c>
      <c r="K45" s="1321">
        <v>0</v>
      </c>
      <c r="L45" s="1321">
        <v>0</v>
      </c>
      <c r="M45" s="1321">
        <v>21414.923954908412</v>
      </c>
      <c r="N45" s="1321">
        <v>42234.114889619545</v>
      </c>
      <c r="O45" s="1321">
        <v>20821.288586190705</v>
      </c>
      <c r="P45" s="1321">
        <v>274684.38703616726</v>
      </c>
      <c r="Q45" s="1321">
        <v>307000.19727571635</v>
      </c>
      <c r="R45" s="1321">
        <v>533210.86895256001</v>
      </c>
      <c r="S45" s="1321">
        <v>42315.810239549086</v>
      </c>
      <c r="T45" s="1321">
        <v>42315.810239549086</v>
      </c>
      <c r="U45" s="1321">
        <v>42315.810239549086</v>
      </c>
      <c r="V45" s="1322">
        <v>1326313.2114138093</v>
      </c>
      <c r="W45" s="1330"/>
    </row>
    <row r="46" spans="1:23" s="1174" customFormat="1" x14ac:dyDescent="0.2">
      <c r="A46" s="1062" t="s">
        <v>1337</v>
      </c>
      <c r="B46" s="1320"/>
      <c r="C46" s="1062">
        <v>7027</v>
      </c>
      <c r="D46" s="1321">
        <v>0</v>
      </c>
      <c r="E46" s="1321">
        <v>0</v>
      </c>
      <c r="F46" s="1321">
        <v>0</v>
      </c>
      <c r="G46" s="1321">
        <v>0</v>
      </c>
      <c r="H46" s="1321">
        <v>0</v>
      </c>
      <c r="I46" s="1321">
        <v>0</v>
      </c>
      <c r="J46" s="1321">
        <v>0</v>
      </c>
      <c r="K46" s="1321">
        <v>0</v>
      </c>
      <c r="L46" s="1321">
        <v>47997.877383769643</v>
      </c>
      <c r="M46" s="1321">
        <v>0</v>
      </c>
      <c r="N46" s="1321">
        <v>0</v>
      </c>
      <c r="O46" s="1321">
        <v>407024.86190480576</v>
      </c>
      <c r="P46" s="1321">
        <v>0</v>
      </c>
      <c r="Q46" s="1321">
        <v>0</v>
      </c>
      <c r="R46" s="1321">
        <v>393742.43042753614</v>
      </c>
      <c r="S46" s="1321">
        <v>0</v>
      </c>
      <c r="T46" s="1321">
        <v>0</v>
      </c>
      <c r="U46" s="1321">
        <v>141610.94978775125</v>
      </c>
      <c r="V46" s="1322">
        <v>990376.11950386292</v>
      </c>
      <c r="W46" s="1330"/>
    </row>
    <row r="47" spans="1:23" s="1174" customFormat="1" x14ac:dyDescent="0.2">
      <c r="A47" s="1062" t="s">
        <v>1339</v>
      </c>
      <c r="B47" s="1320"/>
      <c r="C47" s="1062">
        <v>7025</v>
      </c>
      <c r="D47" s="1321">
        <v>0</v>
      </c>
      <c r="E47" s="1321">
        <v>0</v>
      </c>
      <c r="F47" s="1321">
        <v>0</v>
      </c>
      <c r="G47" s="1321">
        <v>0</v>
      </c>
      <c r="H47" s="1321">
        <v>0</v>
      </c>
      <c r="I47" s="1321">
        <v>38891.050553534107</v>
      </c>
      <c r="J47" s="1321">
        <v>0</v>
      </c>
      <c r="K47" s="1321">
        <v>0</v>
      </c>
      <c r="L47" s="1321">
        <v>299615.90349926456</v>
      </c>
      <c r="M47" s="1321">
        <v>0</v>
      </c>
      <c r="N47" s="1321">
        <v>0</v>
      </c>
      <c r="O47" s="1321">
        <v>74441.541998916175</v>
      </c>
      <c r="P47" s="1321">
        <v>0</v>
      </c>
      <c r="Q47" s="1321">
        <v>0</v>
      </c>
      <c r="R47" s="1321">
        <v>15597.132615932494</v>
      </c>
      <c r="S47" s="1321">
        <v>0</v>
      </c>
      <c r="T47" s="1321">
        <v>0</v>
      </c>
      <c r="U47" s="1321">
        <v>0</v>
      </c>
      <c r="V47" s="1322">
        <v>428545.62866764737</v>
      </c>
      <c r="W47" s="1330"/>
    </row>
    <row r="48" spans="1:23" s="1174" customFormat="1" x14ac:dyDescent="0.2">
      <c r="A48" s="1062" t="s">
        <v>1341</v>
      </c>
      <c r="B48" s="1320"/>
      <c r="C48" s="1062">
        <v>7024</v>
      </c>
      <c r="D48" s="1321">
        <v>0</v>
      </c>
      <c r="E48" s="1321">
        <v>0</v>
      </c>
      <c r="F48" s="1321">
        <v>0</v>
      </c>
      <c r="G48" s="1321">
        <v>0</v>
      </c>
      <c r="H48" s="1321">
        <v>0</v>
      </c>
      <c r="I48" s="1321">
        <v>0</v>
      </c>
      <c r="J48" s="1321">
        <v>0</v>
      </c>
      <c r="K48" s="1321">
        <v>13314.260090178153</v>
      </c>
      <c r="L48" s="1321">
        <v>0</v>
      </c>
      <c r="M48" s="1321">
        <v>147472.3676474219</v>
      </c>
      <c r="N48" s="1321">
        <v>218131.69631304679</v>
      </c>
      <c r="O48" s="1321">
        <v>0</v>
      </c>
      <c r="P48" s="1321">
        <v>98163.32204960988</v>
      </c>
      <c r="Q48" s="1321">
        <v>319030.79666123213</v>
      </c>
      <c r="R48" s="1321">
        <v>0</v>
      </c>
      <c r="S48" s="1321">
        <v>0</v>
      </c>
      <c r="T48" s="1321">
        <v>103622.49153720742</v>
      </c>
      <c r="U48" s="1321">
        <v>0</v>
      </c>
      <c r="V48" s="1322">
        <v>899734.93429869623</v>
      </c>
      <c r="W48" s="1330"/>
    </row>
    <row r="49" spans="1:23" s="1174" customFormat="1" x14ac:dyDescent="0.2">
      <c r="A49" s="1062" t="s">
        <v>1343</v>
      </c>
      <c r="B49" s="1320"/>
      <c r="C49" s="1062">
        <v>7021</v>
      </c>
      <c r="D49" s="1321">
        <v>0</v>
      </c>
      <c r="E49" s="1321">
        <v>0</v>
      </c>
      <c r="F49" s="1321">
        <v>0</v>
      </c>
      <c r="G49" s="1321">
        <v>0</v>
      </c>
      <c r="H49" s="1321">
        <v>0</v>
      </c>
      <c r="I49" s="1321">
        <v>0</v>
      </c>
      <c r="J49" s="1321">
        <v>0</v>
      </c>
      <c r="K49" s="1321">
        <v>0</v>
      </c>
      <c r="L49" s="1321">
        <v>137224.45152640407</v>
      </c>
      <c r="M49" s="1321">
        <v>0</v>
      </c>
      <c r="N49" s="1321">
        <v>0</v>
      </c>
      <c r="O49" s="1321">
        <v>297107.62479029055</v>
      </c>
      <c r="P49" s="1321">
        <v>0</v>
      </c>
      <c r="Q49" s="1321">
        <v>0</v>
      </c>
      <c r="R49" s="1321">
        <v>283240.00817077194</v>
      </c>
      <c r="S49" s="1321">
        <v>0</v>
      </c>
      <c r="T49" s="1321">
        <v>0</v>
      </c>
      <c r="U49" s="1321">
        <v>158938.46468106614</v>
      </c>
      <c r="V49" s="1322">
        <v>876510.54916853271</v>
      </c>
      <c r="W49" s="1330"/>
    </row>
    <row r="50" spans="1:23" s="1174" customFormat="1" x14ac:dyDescent="0.2">
      <c r="A50" s="1062" t="s">
        <v>1038</v>
      </c>
      <c r="B50" s="1320"/>
      <c r="C50" s="1062">
        <v>7029</v>
      </c>
      <c r="D50" s="1321">
        <v>0</v>
      </c>
      <c r="E50" s="1321">
        <v>0</v>
      </c>
      <c r="F50" s="1321">
        <v>0</v>
      </c>
      <c r="G50" s="1321">
        <v>0</v>
      </c>
      <c r="H50" s="1321">
        <v>0</v>
      </c>
      <c r="I50" s="1321">
        <v>0</v>
      </c>
      <c r="J50" s="1321">
        <v>0</v>
      </c>
      <c r="K50" s="1321">
        <v>0</v>
      </c>
      <c r="L50" s="1321">
        <v>0</v>
      </c>
      <c r="M50" s="1321">
        <v>0</v>
      </c>
      <c r="N50" s="1321">
        <v>0</v>
      </c>
      <c r="O50" s="1321">
        <v>557578.98235582421</v>
      </c>
      <c r="P50" s="1321">
        <v>0</v>
      </c>
      <c r="Q50" s="1321">
        <v>0</v>
      </c>
      <c r="R50" s="1321">
        <v>817775.01764417568</v>
      </c>
      <c r="S50" s="1321">
        <v>0</v>
      </c>
      <c r="T50" s="1321">
        <v>0</v>
      </c>
      <c r="U50" s="1321">
        <v>0</v>
      </c>
      <c r="V50" s="1322">
        <v>1375354</v>
      </c>
      <c r="W50" s="1330"/>
    </row>
    <row r="51" spans="1:23" s="1174" customFormat="1" x14ac:dyDescent="0.2">
      <c r="A51" s="1061" t="s">
        <v>1346</v>
      </c>
      <c r="B51" s="1320"/>
      <c r="C51" s="1062">
        <v>1104</v>
      </c>
      <c r="D51" s="1321">
        <v>276500</v>
      </c>
      <c r="E51" s="1321">
        <v>0</v>
      </c>
      <c r="F51" s="1321">
        <v>0</v>
      </c>
      <c r="G51" s="1321">
        <v>276500</v>
      </c>
      <c r="H51" s="1321">
        <v>0</v>
      </c>
      <c r="I51" s="1321">
        <v>0</v>
      </c>
      <c r="J51" s="1321">
        <v>0</v>
      </c>
      <c r="K51" s="1321">
        <v>0</v>
      </c>
      <c r="L51" s="1321">
        <v>0</v>
      </c>
      <c r="M51" s="1321">
        <v>0</v>
      </c>
      <c r="N51" s="1321">
        <v>0</v>
      </c>
      <c r="O51" s="1321">
        <v>0</v>
      </c>
      <c r="P51" s="1321">
        <v>0</v>
      </c>
      <c r="Q51" s="1321">
        <v>0</v>
      </c>
      <c r="R51" s="1321">
        <v>0</v>
      </c>
      <c r="S51" s="1321">
        <v>0</v>
      </c>
      <c r="T51" s="1321">
        <v>0</v>
      </c>
      <c r="U51" s="1321">
        <v>0</v>
      </c>
      <c r="V51" s="1322">
        <v>553000</v>
      </c>
      <c r="W51" s="1330"/>
    </row>
    <row r="52" spans="1:23" s="1174" customFormat="1" ht="13.5" thickBot="1" x14ac:dyDescent="0.25">
      <c r="A52" s="1061" t="s">
        <v>1345</v>
      </c>
      <c r="B52" s="1320"/>
      <c r="C52" s="1062">
        <v>1103</v>
      </c>
      <c r="D52" s="1321">
        <v>0</v>
      </c>
      <c r="E52" s="1321">
        <v>0</v>
      </c>
      <c r="F52" s="1321">
        <v>351111.60000000003</v>
      </c>
      <c r="G52" s="1321">
        <v>0</v>
      </c>
      <c r="H52" s="1321">
        <v>0</v>
      </c>
      <c r="I52" s="1321">
        <v>351111.60000000003</v>
      </c>
      <c r="J52" s="1321">
        <v>0</v>
      </c>
      <c r="K52" s="1321">
        <v>0</v>
      </c>
      <c r="L52" s="1321">
        <v>351111.60000000003</v>
      </c>
      <c r="M52" s="1321">
        <v>0</v>
      </c>
      <c r="N52" s="1321">
        <v>0</v>
      </c>
      <c r="O52" s="1321">
        <v>0</v>
      </c>
      <c r="P52" s="1321">
        <v>0</v>
      </c>
      <c r="Q52" s="1321">
        <v>0</v>
      </c>
      <c r="R52" s="1321">
        <v>0</v>
      </c>
      <c r="S52" s="1321">
        <v>0</v>
      </c>
      <c r="T52" s="1321">
        <v>0</v>
      </c>
      <c r="U52" s="1321">
        <v>0</v>
      </c>
      <c r="V52" s="1322">
        <v>1053334.8</v>
      </c>
      <c r="W52" s="1330"/>
    </row>
    <row r="53" spans="1:23" s="1174" customFormat="1" ht="13.5" thickBot="1" x14ac:dyDescent="0.25">
      <c r="A53" s="1061" t="s">
        <v>1347</v>
      </c>
      <c r="B53" s="1320"/>
      <c r="C53" s="1323" t="s">
        <v>931</v>
      </c>
      <c r="D53" s="1324">
        <v>276500</v>
      </c>
      <c r="E53" s="1325">
        <v>0</v>
      </c>
      <c r="F53" s="1325">
        <v>351111.60000000003</v>
      </c>
      <c r="G53" s="1325">
        <v>276500</v>
      </c>
      <c r="H53" s="1325">
        <v>0</v>
      </c>
      <c r="I53" s="1325">
        <v>390002.65055353416</v>
      </c>
      <c r="J53" s="1325">
        <v>0</v>
      </c>
      <c r="K53" s="1325">
        <v>13314.260090178153</v>
      </c>
      <c r="L53" s="1325">
        <v>835949.83240943833</v>
      </c>
      <c r="M53" s="1325">
        <v>168887.29160233031</v>
      </c>
      <c r="N53" s="1325">
        <v>260365.81120266634</v>
      </c>
      <c r="O53" s="1325">
        <v>1356974.2996360273</v>
      </c>
      <c r="P53" s="1325">
        <v>372847.70908577717</v>
      </c>
      <c r="Q53" s="1325">
        <v>626030.99393694848</v>
      </c>
      <c r="R53" s="1325">
        <v>2043565.4578109761</v>
      </c>
      <c r="S53" s="1325">
        <v>42315.810239549086</v>
      </c>
      <c r="T53" s="1325">
        <v>145938.3017767565</v>
      </c>
      <c r="U53" s="1325">
        <v>342865.22470836644</v>
      </c>
      <c r="V53" s="1326">
        <v>7503169.2430525487</v>
      </c>
      <c r="W53" s="36"/>
    </row>
    <row r="54" spans="1:23" s="1174" customFormat="1" x14ac:dyDescent="0.2">
      <c r="A54" s="241"/>
      <c r="B54" s="793"/>
      <c r="C54" s="793"/>
      <c r="J54" s="1193"/>
      <c r="K54" s="1193"/>
      <c r="L54" s="1193"/>
      <c r="M54" s="1193"/>
      <c r="N54" s="1193"/>
      <c r="O54" s="1193"/>
      <c r="P54" s="1193"/>
      <c r="Q54" s="1193"/>
      <c r="R54" s="1193"/>
      <c r="S54" s="1193"/>
      <c r="T54" s="1193"/>
      <c r="U54" s="1193"/>
      <c r="V54" s="1193"/>
    </row>
    <row r="55" spans="1:23" s="1174" customFormat="1" x14ac:dyDescent="0.2">
      <c r="A55" s="701"/>
      <c r="B55" s="793"/>
      <c r="C55" s="793"/>
      <c r="J55" s="1193"/>
      <c r="K55" s="1193"/>
      <c r="L55" s="1193"/>
      <c r="M55" s="1193"/>
      <c r="N55" s="1193"/>
      <c r="O55" s="1193"/>
      <c r="P55" s="1193"/>
      <c r="Q55" s="1193"/>
      <c r="R55" s="1193"/>
      <c r="S55" s="1193"/>
      <c r="T55" s="1193"/>
      <c r="U55" s="1193"/>
      <c r="V55" s="1193"/>
    </row>
    <row r="56" spans="1:23" s="1076" customFormat="1" x14ac:dyDescent="0.2">
      <c r="A56" s="781" t="s">
        <v>1465</v>
      </c>
      <c r="B56" s="1186"/>
      <c r="C56" s="1186"/>
      <c r="D56" s="3" t="s">
        <v>1438</v>
      </c>
      <c r="E56" s="3" t="s">
        <v>1438</v>
      </c>
      <c r="F56" s="3" t="s">
        <v>1438</v>
      </c>
      <c r="G56" s="3" t="s">
        <v>1394</v>
      </c>
      <c r="H56" s="3" t="s">
        <v>1394</v>
      </c>
      <c r="I56" s="3" t="s">
        <v>1394</v>
      </c>
      <c r="J56" s="1076" t="s">
        <v>1371</v>
      </c>
      <c r="K56" s="1076" t="s">
        <v>1371</v>
      </c>
      <c r="L56" s="1076" t="s">
        <v>1371</v>
      </c>
      <c r="M56" s="1076" t="s">
        <v>1372</v>
      </c>
      <c r="N56" s="1076" t="s">
        <v>1372</v>
      </c>
      <c r="O56" s="1076" t="s">
        <v>1372</v>
      </c>
      <c r="P56" s="1076" t="s">
        <v>1373</v>
      </c>
      <c r="Q56" s="1076" t="s">
        <v>1373</v>
      </c>
      <c r="R56" s="1076" t="s">
        <v>1373</v>
      </c>
      <c r="S56" s="1076" t="s">
        <v>1374</v>
      </c>
      <c r="T56" s="1076" t="s">
        <v>1374</v>
      </c>
      <c r="U56" s="1076" t="s">
        <v>1374</v>
      </c>
    </row>
    <row r="57" spans="1:23" s="1076" customFormat="1" x14ac:dyDescent="0.2">
      <c r="A57" s="781" t="s">
        <v>1349</v>
      </c>
      <c r="B57" s="1186"/>
      <c r="C57" s="1186"/>
      <c r="D57" s="3" t="s">
        <v>1439</v>
      </c>
      <c r="E57" s="3" t="s">
        <v>1440</v>
      </c>
      <c r="F57" s="3" t="s">
        <v>1441</v>
      </c>
      <c r="G57" s="3" t="s">
        <v>1439</v>
      </c>
      <c r="H57" s="3" t="s">
        <v>1440</v>
      </c>
      <c r="I57" s="3" t="s">
        <v>1441</v>
      </c>
      <c r="J57" s="1076" t="s">
        <v>1439</v>
      </c>
      <c r="K57" s="1076" t="s">
        <v>1440</v>
      </c>
      <c r="L57" s="1076" t="s">
        <v>1441</v>
      </c>
      <c r="M57" s="1076" t="s">
        <v>1439</v>
      </c>
      <c r="N57" s="1076" t="s">
        <v>1440</v>
      </c>
      <c r="O57" s="1076" t="s">
        <v>1441</v>
      </c>
      <c r="P57" s="1076" t="s">
        <v>1439</v>
      </c>
      <c r="Q57" s="1076" t="s">
        <v>1440</v>
      </c>
      <c r="R57" s="1076" t="s">
        <v>1441</v>
      </c>
      <c r="S57" s="1076" t="s">
        <v>1439</v>
      </c>
      <c r="T57" s="1076" t="s">
        <v>1440</v>
      </c>
      <c r="U57" s="1076" t="s">
        <v>1441</v>
      </c>
    </row>
    <row r="58" spans="1:23" s="1174" customFormat="1" x14ac:dyDescent="0.2">
      <c r="A58" s="16"/>
      <c r="B58" s="813"/>
      <c r="C58" s="699" t="s">
        <v>1406</v>
      </c>
      <c r="J58" s="1193"/>
      <c r="K58" s="1193"/>
      <c r="L58" s="1193"/>
      <c r="M58" s="1193"/>
      <c r="N58" s="1193"/>
      <c r="O58" s="1193"/>
      <c r="P58" s="1193"/>
      <c r="Q58" s="1193"/>
      <c r="R58" s="1193"/>
      <c r="S58" s="1193"/>
      <c r="T58" s="1193"/>
      <c r="U58" s="1193"/>
      <c r="V58" s="1193"/>
    </row>
    <row r="59" spans="1:23" s="1174" customFormat="1" x14ac:dyDescent="0.2">
      <c r="A59" t="s">
        <v>1335</v>
      </c>
      <c r="B59" s="1153"/>
      <c r="C59">
        <v>7026</v>
      </c>
      <c r="D59" s="6">
        <v>0</v>
      </c>
      <c r="E59" s="6">
        <v>0</v>
      </c>
      <c r="F59" s="6">
        <v>0</v>
      </c>
      <c r="G59" s="6">
        <v>0</v>
      </c>
      <c r="H59" s="6">
        <v>0</v>
      </c>
      <c r="I59" s="6">
        <v>0</v>
      </c>
      <c r="J59" s="6">
        <v>0</v>
      </c>
      <c r="K59" s="6">
        <v>0</v>
      </c>
      <c r="L59" s="6">
        <v>0</v>
      </c>
      <c r="M59" s="6">
        <v>0</v>
      </c>
      <c r="N59" s="6">
        <v>0</v>
      </c>
      <c r="O59" s="6">
        <v>20821.288586190705</v>
      </c>
      <c r="P59" s="6">
        <v>0</v>
      </c>
      <c r="Q59" s="6">
        <v>0</v>
      </c>
      <c r="R59" s="6">
        <v>48473.715359323636</v>
      </c>
      <c r="S59" s="6">
        <v>0</v>
      </c>
      <c r="T59" s="6">
        <v>0</v>
      </c>
      <c r="U59" s="6">
        <v>0</v>
      </c>
      <c r="V59" s="1185">
        <v>69295.003945514341</v>
      </c>
    </row>
    <row r="60" spans="1:23" s="1174" customFormat="1" x14ac:dyDescent="0.2">
      <c r="A60" t="s">
        <v>1337</v>
      </c>
      <c r="B60" s="1153"/>
      <c r="C60">
        <v>7027</v>
      </c>
      <c r="D60" s="6">
        <v>0</v>
      </c>
      <c r="E60" s="6">
        <v>0</v>
      </c>
      <c r="F60" s="6">
        <v>0</v>
      </c>
      <c r="G60" s="6">
        <v>0</v>
      </c>
      <c r="H60" s="6">
        <v>0</v>
      </c>
      <c r="I60" s="6">
        <v>0</v>
      </c>
      <c r="J60" s="6">
        <v>0</v>
      </c>
      <c r="K60" s="6">
        <v>0</v>
      </c>
      <c r="L60" s="6">
        <v>0</v>
      </c>
      <c r="M60" s="6">
        <v>0</v>
      </c>
      <c r="N60" s="6">
        <v>0</v>
      </c>
      <c r="O60" s="6">
        <v>25980.310334349302</v>
      </c>
      <c r="P60" s="6">
        <v>0</v>
      </c>
      <c r="Q60" s="6">
        <v>0</v>
      </c>
      <c r="R60" s="6">
        <v>12701.368723468908</v>
      </c>
      <c r="S60" s="6">
        <v>0</v>
      </c>
      <c r="T60" s="6">
        <v>0</v>
      </c>
      <c r="U60" s="6">
        <v>0</v>
      </c>
      <c r="V60" s="1185">
        <v>38681.679057818212</v>
      </c>
    </row>
    <row r="61" spans="1:23" s="1174" customFormat="1" x14ac:dyDescent="0.2">
      <c r="A61" t="s">
        <v>1339</v>
      </c>
      <c r="B61" s="1153"/>
      <c r="C61">
        <v>7025</v>
      </c>
      <c r="D61" s="6">
        <v>0</v>
      </c>
      <c r="E61" s="6">
        <v>0</v>
      </c>
      <c r="F61" s="6">
        <v>0</v>
      </c>
      <c r="G61" s="6">
        <v>0</v>
      </c>
      <c r="H61" s="6">
        <v>0</v>
      </c>
      <c r="I61" s="6">
        <v>0</v>
      </c>
      <c r="J61" s="6">
        <v>0</v>
      </c>
      <c r="K61" s="6">
        <v>0</v>
      </c>
      <c r="L61" s="6">
        <v>9823.4722458775268</v>
      </c>
      <c r="M61" s="6">
        <v>0</v>
      </c>
      <c r="N61" s="6">
        <v>0</v>
      </c>
      <c r="O61" s="6">
        <v>21269.011999690334</v>
      </c>
      <c r="P61" s="6">
        <v>0</v>
      </c>
      <c r="Q61" s="6">
        <v>0</v>
      </c>
      <c r="R61" s="6">
        <v>0</v>
      </c>
      <c r="S61" s="6">
        <v>0</v>
      </c>
      <c r="T61" s="6">
        <v>0</v>
      </c>
      <c r="U61" s="6">
        <v>0</v>
      </c>
      <c r="V61" s="1185">
        <v>31092.484245567859</v>
      </c>
    </row>
    <row r="62" spans="1:23" s="1174" customFormat="1" x14ac:dyDescent="0.2">
      <c r="A62" t="s">
        <v>1341</v>
      </c>
      <c r="B62" s="1153"/>
      <c r="C62">
        <v>7024</v>
      </c>
      <c r="D62" s="6">
        <v>0</v>
      </c>
      <c r="E62" s="6">
        <v>0</v>
      </c>
      <c r="F62" s="6">
        <v>0</v>
      </c>
      <c r="G62" s="6">
        <v>0</v>
      </c>
      <c r="H62" s="6">
        <v>0</v>
      </c>
      <c r="I62" s="6">
        <v>0</v>
      </c>
      <c r="J62" s="6">
        <v>0</v>
      </c>
      <c r="K62" s="6">
        <v>0</v>
      </c>
      <c r="L62" s="6">
        <v>0</v>
      </c>
      <c r="M62" s="6">
        <v>0</v>
      </c>
      <c r="N62" s="6">
        <v>0</v>
      </c>
      <c r="O62" s="6">
        <v>0</v>
      </c>
      <c r="P62" s="6">
        <v>0</v>
      </c>
      <c r="Q62" s="6">
        <v>0</v>
      </c>
      <c r="R62" s="6">
        <v>0</v>
      </c>
      <c r="S62" s="6">
        <v>0</v>
      </c>
      <c r="T62" s="6">
        <v>0</v>
      </c>
      <c r="U62" s="6">
        <v>0</v>
      </c>
      <c r="V62" s="1185">
        <v>0</v>
      </c>
    </row>
    <row r="63" spans="1:23" s="1174" customFormat="1" x14ac:dyDescent="0.2">
      <c r="A63" t="s">
        <v>1343</v>
      </c>
      <c r="B63" s="1153"/>
      <c r="C63">
        <v>7021</v>
      </c>
      <c r="D63" s="6">
        <v>0</v>
      </c>
      <c r="E63" s="6">
        <v>0</v>
      </c>
      <c r="F63" s="6">
        <v>0</v>
      </c>
      <c r="G63" s="6">
        <v>0</v>
      </c>
      <c r="H63" s="6">
        <v>0</v>
      </c>
      <c r="I63" s="6">
        <v>0</v>
      </c>
      <c r="J63" s="6">
        <v>0</v>
      </c>
      <c r="K63" s="6">
        <v>0</v>
      </c>
      <c r="L63" s="6">
        <v>6861.2225763202041</v>
      </c>
      <c r="M63" s="6">
        <v>0</v>
      </c>
      <c r="N63" s="6">
        <v>0</v>
      </c>
      <c r="O63" s="6">
        <v>0</v>
      </c>
      <c r="P63" s="6">
        <v>0</v>
      </c>
      <c r="Q63" s="6">
        <v>0</v>
      </c>
      <c r="R63" s="6">
        <v>0</v>
      </c>
      <c r="S63" s="6">
        <v>0</v>
      </c>
      <c r="T63" s="6">
        <v>0</v>
      </c>
      <c r="U63" s="6">
        <v>0</v>
      </c>
      <c r="V63" s="1185">
        <v>6861.2225763202041</v>
      </c>
    </row>
    <row r="64" spans="1:23" s="1174" customFormat="1" x14ac:dyDescent="0.2">
      <c r="A64" t="s">
        <v>1038</v>
      </c>
      <c r="B64" s="1153"/>
      <c r="C64">
        <v>7029</v>
      </c>
      <c r="D64" s="6">
        <v>0</v>
      </c>
      <c r="E64" s="6">
        <v>0</v>
      </c>
      <c r="F64" s="6">
        <v>0</v>
      </c>
      <c r="G64" s="6">
        <v>0</v>
      </c>
      <c r="H64" s="6">
        <v>0</v>
      </c>
      <c r="I64" s="6">
        <v>0</v>
      </c>
      <c r="J64" s="6">
        <v>0</v>
      </c>
      <c r="K64" s="6">
        <v>0</v>
      </c>
      <c r="L64" s="6">
        <v>0</v>
      </c>
      <c r="M64" s="6">
        <v>0</v>
      </c>
      <c r="N64" s="6">
        <v>0</v>
      </c>
      <c r="O64" s="6">
        <v>0</v>
      </c>
      <c r="P64" s="6">
        <v>0</v>
      </c>
      <c r="Q64" s="6">
        <v>0</v>
      </c>
      <c r="R64" s="6">
        <v>0</v>
      </c>
      <c r="S64" s="6">
        <v>0</v>
      </c>
      <c r="T64" s="6">
        <v>0</v>
      </c>
      <c r="U64" s="6">
        <v>0</v>
      </c>
      <c r="V64" s="1185">
        <v>0</v>
      </c>
    </row>
    <row r="65" spans="1:22" s="1174" customFormat="1" x14ac:dyDescent="0.2">
      <c r="A65" s="741" t="s">
        <v>1346</v>
      </c>
      <c r="B65" s="1153"/>
      <c r="C65">
        <v>1104</v>
      </c>
      <c r="D65" s="6">
        <v>0</v>
      </c>
      <c r="E65" s="6">
        <v>0</v>
      </c>
      <c r="F65" s="6">
        <v>0</v>
      </c>
      <c r="G65" s="6">
        <v>0</v>
      </c>
      <c r="H65" s="6">
        <v>0</v>
      </c>
      <c r="I65" s="6">
        <v>0</v>
      </c>
      <c r="J65" s="6">
        <v>0</v>
      </c>
      <c r="K65" s="6">
        <v>0</v>
      </c>
      <c r="L65" s="6">
        <v>0</v>
      </c>
      <c r="M65" s="6">
        <v>0</v>
      </c>
      <c r="N65" s="6">
        <v>0</v>
      </c>
      <c r="O65" s="6">
        <v>0</v>
      </c>
      <c r="P65" s="6">
        <v>0</v>
      </c>
      <c r="Q65" s="6">
        <v>0</v>
      </c>
      <c r="R65" s="6">
        <v>0</v>
      </c>
      <c r="S65" s="6">
        <v>0</v>
      </c>
      <c r="T65" s="6">
        <v>0</v>
      </c>
      <c r="U65" s="6">
        <v>0</v>
      </c>
      <c r="V65" s="1185">
        <v>0</v>
      </c>
    </row>
    <row r="66" spans="1:22" s="1174" customFormat="1" ht="13.5" thickBot="1" x14ac:dyDescent="0.25">
      <c r="A66" s="741" t="s">
        <v>1345</v>
      </c>
      <c r="B66" s="1153"/>
      <c r="C66">
        <v>1103</v>
      </c>
      <c r="D66" s="6">
        <v>0</v>
      </c>
      <c r="E66" s="6">
        <v>0</v>
      </c>
      <c r="F66" s="6">
        <v>0</v>
      </c>
      <c r="G66" s="6">
        <v>0</v>
      </c>
      <c r="H66" s="6">
        <v>0</v>
      </c>
      <c r="I66" s="6">
        <v>0</v>
      </c>
      <c r="J66" s="6">
        <v>0</v>
      </c>
      <c r="K66" s="6">
        <v>0</v>
      </c>
      <c r="L66" s="6">
        <v>0</v>
      </c>
      <c r="M66" s="6">
        <v>0</v>
      </c>
      <c r="N66" s="6">
        <v>0</v>
      </c>
      <c r="O66" s="6">
        <v>0</v>
      </c>
      <c r="P66" s="6">
        <v>0</v>
      </c>
      <c r="Q66" s="6">
        <v>0</v>
      </c>
      <c r="R66" s="6">
        <v>0</v>
      </c>
      <c r="S66" s="6">
        <v>0</v>
      </c>
      <c r="T66" s="6">
        <v>0</v>
      </c>
      <c r="U66" s="6">
        <v>0</v>
      </c>
      <c r="V66" s="1185">
        <v>0</v>
      </c>
    </row>
    <row r="67" spans="1:22" s="1174" customFormat="1" ht="13.5" thickBot="1" x14ac:dyDescent="0.25">
      <c r="A67" s="741" t="s">
        <v>1347</v>
      </c>
      <c r="B67" s="1153"/>
      <c r="C67" s="1154" t="s">
        <v>931</v>
      </c>
      <c r="D67" s="1161">
        <v>0</v>
      </c>
      <c r="E67" s="1159">
        <v>0</v>
      </c>
      <c r="F67" s="1159">
        <v>0</v>
      </c>
      <c r="G67" s="1159">
        <v>0</v>
      </c>
      <c r="H67" s="1159">
        <v>0</v>
      </c>
      <c r="I67" s="1159">
        <v>0</v>
      </c>
      <c r="J67" s="1159">
        <v>0</v>
      </c>
      <c r="K67" s="1159">
        <v>0</v>
      </c>
      <c r="L67" s="1159">
        <v>16684.694822197729</v>
      </c>
      <c r="M67" s="1159">
        <v>0</v>
      </c>
      <c r="N67" s="1159">
        <v>0</v>
      </c>
      <c r="O67" s="1159">
        <v>68070.610920230349</v>
      </c>
      <c r="P67" s="1159">
        <v>0</v>
      </c>
      <c r="Q67" s="1159">
        <v>0</v>
      </c>
      <c r="R67" s="1159">
        <v>61175.084082792542</v>
      </c>
      <c r="S67" s="1159">
        <v>0</v>
      </c>
      <c r="T67" s="1159">
        <v>0</v>
      </c>
      <c r="U67" s="1159">
        <v>0</v>
      </c>
      <c r="V67" s="1190">
        <v>145930.3898252206</v>
      </c>
    </row>
    <row r="68" spans="1:22" s="1174" customFormat="1" x14ac:dyDescent="0.2">
      <c r="A68" s="241"/>
      <c r="B68" s="793"/>
      <c r="C68" s="793"/>
      <c r="J68" s="1193"/>
      <c r="K68" s="1193"/>
      <c r="L68" s="1193"/>
      <c r="M68" s="1193"/>
      <c r="N68" s="1193"/>
      <c r="O68" s="1193"/>
      <c r="P68" s="1193"/>
      <c r="Q68" s="1193"/>
      <c r="R68" s="1193"/>
      <c r="S68" s="1193"/>
      <c r="T68" s="1193"/>
      <c r="U68" s="1193"/>
      <c r="V68" s="1193"/>
    </row>
    <row r="69" spans="1:22" s="1174" customFormat="1" x14ac:dyDescent="0.2">
      <c r="A69" s="241"/>
      <c r="B69" s="793"/>
      <c r="C69" s="793"/>
      <c r="J69" s="1193"/>
      <c r="K69" s="1193"/>
      <c r="L69" s="1193"/>
      <c r="M69" s="1193"/>
      <c r="N69" s="1193"/>
      <c r="O69" s="1193"/>
      <c r="P69" s="1193"/>
      <c r="Q69" s="1193"/>
      <c r="R69" s="1193"/>
      <c r="S69" s="1193"/>
      <c r="T69" s="1193"/>
      <c r="U69" s="1193"/>
      <c r="V69" s="1193"/>
    </row>
    <row r="70" spans="1:22" s="1174" customFormat="1" x14ac:dyDescent="0.2">
      <c r="A70" s="1311" t="s">
        <v>1461</v>
      </c>
      <c r="B70" s="1329"/>
      <c r="C70" s="1329"/>
      <c r="D70" s="1304" t="s">
        <v>1438</v>
      </c>
      <c r="E70" s="1304" t="s">
        <v>1438</v>
      </c>
      <c r="F70" s="1304" t="s">
        <v>1438</v>
      </c>
      <c r="G70" s="1304" t="s">
        <v>1394</v>
      </c>
      <c r="H70" s="1304" t="s">
        <v>1394</v>
      </c>
      <c r="I70" s="1304" t="s">
        <v>1394</v>
      </c>
      <c r="J70" s="1305" t="s">
        <v>1371</v>
      </c>
      <c r="K70" s="1305" t="s">
        <v>1371</v>
      </c>
      <c r="L70" s="1305" t="s">
        <v>1371</v>
      </c>
      <c r="M70" s="1305" t="s">
        <v>1372</v>
      </c>
      <c r="N70" s="1305" t="s">
        <v>1372</v>
      </c>
      <c r="O70" s="1305" t="s">
        <v>1372</v>
      </c>
      <c r="P70" s="1305" t="s">
        <v>1373</v>
      </c>
      <c r="Q70" s="1305" t="s">
        <v>1373</v>
      </c>
      <c r="R70" s="1305" t="s">
        <v>1373</v>
      </c>
      <c r="S70" s="1305" t="s">
        <v>1374</v>
      </c>
      <c r="T70" s="1305" t="s">
        <v>1374</v>
      </c>
      <c r="U70" s="1305" t="s">
        <v>1374</v>
      </c>
      <c r="V70" s="1312"/>
    </row>
    <row r="71" spans="1:22" s="1174" customFormat="1" x14ac:dyDescent="0.2">
      <c r="A71" s="1311" t="s">
        <v>1466</v>
      </c>
      <c r="B71" s="1329"/>
      <c r="C71" s="1329"/>
      <c r="D71" s="1304" t="s">
        <v>1439</v>
      </c>
      <c r="E71" s="1304" t="s">
        <v>1440</v>
      </c>
      <c r="F71" s="1304" t="s">
        <v>1441</v>
      </c>
      <c r="G71" s="1304" t="s">
        <v>1439</v>
      </c>
      <c r="H71" s="1304" t="s">
        <v>1440</v>
      </c>
      <c r="I71" s="1304" t="s">
        <v>1441</v>
      </c>
      <c r="J71" s="1305" t="s">
        <v>1439</v>
      </c>
      <c r="K71" s="1305" t="s">
        <v>1440</v>
      </c>
      <c r="L71" s="1305" t="s">
        <v>1441</v>
      </c>
      <c r="M71" s="1305" t="s">
        <v>1439</v>
      </c>
      <c r="N71" s="1305" t="s">
        <v>1440</v>
      </c>
      <c r="O71" s="1305" t="s">
        <v>1441</v>
      </c>
      <c r="P71" s="1305" t="s">
        <v>1439</v>
      </c>
      <c r="Q71" s="1305" t="s">
        <v>1440</v>
      </c>
      <c r="R71" s="1305" t="s">
        <v>1441</v>
      </c>
      <c r="S71" s="1305" t="s">
        <v>1439</v>
      </c>
      <c r="T71" s="1305" t="s">
        <v>1440</v>
      </c>
      <c r="U71" s="1305" t="s">
        <v>1441</v>
      </c>
      <c r="V71" s="1312"/>
    </row>
    <row r="72" spans="1:22" s="1174" customFormat="1" x14ac:dyDescent="0.2">
      <c r="A72" s="1304" t="s">
        <v>1337</v>
      </c>
      <c r="B72" s="1309"/>
      <c r="C72" s="1308">
        <v>7027</v>
      </c>
      <c r="D72" s="1313">
        <v>0</v>
      </c>
      <c r="E72" s="1313">
        <v>0</v>
      </c>
      <c r="F72" s="1313">
        <v>0</v>
      </c>
      <c r="G72" s="1313">
        <v>0</v>
      </c>
      <c r="H72" s="1313">
        <v>0</v>
      </c>
      <c r="I72" s="1313">
        <v>0</v>
      </c>
      <c r="J72" s="1313">
        <v>0</v>
      </c>
      <c r="K72" s="1313">
        <v>0</v>
      </c>
      <c r="L72" s="1313">
        <v>9769.623003194889</v>
      </c>
      <c r="M72" s="1313">
        <v>0</v>
      </c>
      <c r="N72" s="1313">
        <v>0</v>
      </c>
      <c r="O72" s="1313">
        <v>9769.623003194889</v>
      </c>
      <c r="P72" s="1313">
        <v>0</v>
      </c>
      <c r="Q72" s="1313">
        <v>0</v>
      </c>
      <c r="R72" s="1313">
        <v>30030.201277955275</v>
      </c>
      <c r="S72" s="1313">
        <v>0</v>
      </c>
      <c r="T72" s="1313">
        <v>0</v>
      </c>
      <c r="U72" s="1313">
        <v>70060.402555910608</v>
      </c>
      <c r="V72" s="1314"/>
    </row>
    <row r="73" spans="1:22" s="1175" customFormat="1" x14ac:dyDescent="0.2">
      <c r="A73" s="3"/>
      <c r="B73" s="1153"/>
      <c r="C73"/>
      <c r="D73" s="6"/>
      <c r="E73" s="6"/>
      <c r="F73" s="6"/>
      <c r="G73" s="6"/>
      <c r="H73" s="6"/>
      <c r="I73" s="6"/>
      <c r="J73" s="6"/>
      <c r="K73" s="6"/>
      <c r="L73" s="6"/>
      <c r="M73" s="6"/>
      <c r="N73" s="6"/>
      <c r="O73" s="6"/>
      <c r="P73" s="6"/>
      <c r="Q73" s="6"/>
      <c r="R73" s="6"/>
      <c r="S73" s="6"/>
      <c r="T73" s="6"/>
      <c r="U73" s="6"/>
      <c r="V73" s="1185"/>
    </row>
    <row r="74" spans="1:22" s="1174" customFormat="1" x14ac:dyDescent="0.2">
      <c r="A74" s="241"/>
      <c r="B74" s="793"/>
      <c r="C74" s="793"/>
      <c r="J74" s="1193"/>
      <c r="K74" s="1193"/>
      <c r="L74" s="1193"/>
      <c r="M74" s="1193"/>
      <c r="N74" s="1193"/>
      <c r="O74" s="1193"/>
      <c r="P74" s="1193"/>
      <c r="Q74" s="1193"/>
      <c r="R74" s="1193"/>
      <c r="S74" s="1193"/>
      <c r="T74" s="1193"/>
      <c r="U74" s="1193"/>
      <c r="V74" s="1193"/>
    </row>
    <row r="75" spans="1:22" s="1175" customFormat="1" x14ac:dyDescent="0.2">
      <c r="A75" s="781" t="s">
        <v>1461</v>
      </c>
      <c r="B75" s="793"/>
      <c r="C75" s="793"/>
      <c r="D75" s="3" t="s">
        <v>1438</v>
      </c>
      <c r="E75" s="3" t="s">
        <v>1438</v>
      </c>
      <c r="F75" s="3" t="s">
        <v>1438</v>
      </c>
      <c r="G75" s="3" t="s">
        <v>1394</v>
      </c>
      <c r="H75" s="3" t="s">
        <v>1394</v>
      </c>
      <c r="I75" s="3" t="s">
        <v>1394</v>
      </c>
      <c r="J75" s="1076" t="s">
        <v>1371</v>
      </c>
      <c r="K75" s="1076" t="s">
        <v>1371</v>
      </c>
      <c r="L75" s="1076" t="s">
        <v>1371</v>
      </c>
      <c r="M75" s="1076" t="s">
        <v>1372</v>
      </c>
      <c r="N75" s="1076" t="s">
        <v>1372</v>
      </c>
      <c r="O75" s="1076" t="s">
        <v>1372</v>
      </c>
      <c r="P75" s="1076" t="s">
        <v>1373</v>
      </c>
      <c r="Q75" s="1076" t="s">
        <v>1373</v>
      </c>
      <c r="R75" s="1076" t="s">
        <v>1373</v>
      </c>
      <c r="S75" s="1076" t="s">
        <v>1374</v>
      </c>
      <c r="T75" s="1076" t="s">
        <v>1374</v>
      </c>
      <c r="U75" s="1076" t="s">
        <v>1374</v>
      </c>
      <c r="V75" s="1193"/>
    </row>
    <row r="76" spans="1:22" s="1175" customFormat="1" x14ac:dyDescent="0.2">
      <c r="A76" s="781" t="s">
        <v>1467</v>
      </c>
      <c r="B76" s="793"/>
      <c r="C76" s="793"/>
      <c r="D76" s="3" t="s">
        <v>1439</v>
      </c>
      <c r="E76" s="3" t="s">
        <v>1440</v>
      </c>
      <c r="F76" s="3" t="s">
        <v>1441</v>
      </c>
      <c r="G76" s="3" t="s">
        <v>1439</v>
      </c>
      <c r="H76" s="3" t="s">
        <v>1440</v>
      </c>
      <c r="I76" s="3" t="s">
        <v>1441</v>
      </c>
      <c r="J76" s="1076" t="s">
        <v>1439</v>
      </c>
      <c r="K76" s="1076" t="s">
        <v>1440</v>
      </c>
      <c r="L76" s="1076" t="s">
        <v>1441</v>
      </c>
      <c r="M76" s="1076" t="s">
        <v>1439</v>
      </c>
      <c r="N76" s="1076" t="s">
        <v>1440</v>
      </c>
      <c r="O76" s="1076" t="s">
        <v>1441</v>
      </c>
      <c r="P76" s="1076" t="s">
        <v>1439</v>
      </c>
      <c r="Q76" s="1076" t="s">
        <v>1440</v>
      </c>
      <c r="R76" s="1076" t="s">
        <v>1441</v>
      </c>
      <c r="S76" s="1076" t="s">
        <v>1439</v>
      </c>
      <c r="T76" s="1076" t="s">
        <v>1440</v>
      </c>
      <c r="U76" s="1076" t="s">
        <v>1441</v>
      </c>
      <c r="V76" s="1193"/>
    </row>
    <row r="77" spans="1:22" s="1175" customFormat="1" x14ac:dyDescent="0.2">
      <c r="A77" s="3" t="s">
        <v>1337</v>
      </c>
      <c r="B77" s="1153"/>
      <c r="C77">
        <v>7027</v>
      </c>
      <c r="D77" s="147"/>
      <c r="E77" s="147"/>
      <c r="F77" s="147"/>
      <c r="G77" s="147"/>
      <c r="H77" s="147"/>
      <c r="I77" s="147"/>
      <c r="J77" s="147"/>
      <c r="K77" s="147"/>
      <c r="L77" s="147"/>
      <c r="M77" s="147"/>
      <c r="N77" s="147"/>
      <c r="O77" s="147">
        <v>17</v>
      </c>
      <c r="P77" s="147"/>
      <c r="Q77" s="147"/>
      <c r="R77" s="147">
        <v>7</v>
      </c>
      <c r="S77" s="147"/>
      <c r="T77" s="147"/>
      <c r="U77" s="147"/>
      <c r="V77" s="1083"/>
    </row>
    <row r="78" spans="1:22" s="1175" customFormat="1" x14ac:dyDescent="0.2">
      <c r="A78" s="1064"/>
      <c r="B78" s="1320"/>
      <c r="C78" s="1062"/>
      <c r="D78" s="1331"/>
      <c r="E78" s="1331"/>
      <c r="F78" s="1331"/>
      <c r="G78" s="1331"/>
      <c r="H78" s="1331"/>
      <c r="I78" s="1331"/>
      <c r="J78" s="1331"/>
      <c r="K78" s="1331"/>
      <c r="L78" s="1331"/>
      <c r="M78" s="1331"/>
      <c r="N78" s="1331"/>
      <c r="O78" s="1331"/>
      <c r="P78" s="1331"/>
      <c r="Q78" s="1331"/>
      <c r="R78" s="1331"/>
      <c r="S78" s="1331"/>
      <c r="T78" s="1331"/>
      <c r="U78" s="1331"/>
      <c r="V78" s="1332"/>
    </row>
    <row r="79" spans="1:22" s="1174" customFormat="1" x14ac:dyDescent="0.2">
      <c r="A79" s="1333"/>
      <c r="B79" s="1334"/>
      <c r="C79" s="1334"/>
      <c r="D79" s="1064" t="s">
        <v>1438</v>
      </c>
      <c r="E79" s="1064" t="s">
        <v>1438</v>
      </c>
      <c r="F79" s="1064" t="s">
        <v>1438</v>
      </c>
      <c r="G79" s="1064" t="s">
        <v>1394</v>
      </c>
      <c r="H79" s="1064" t="s">
        <v>1394</v>
      </c>
      <c r="I79" s="1064" t="s">
        <v>1394</v>
      </c>
      <c r="J79" s="1317" t="s">
        <v>1371</v>
      </c>
      <c r="K79" s="1317" t="s">
        <v>1371</v>
      </c>
      <c r="L79" s="1317" t="s">
        <v>1371</v>
      </c>
      <c r="M79" s="1317" t="s">
        <v>1372</v>
      </c>
      <c r="N79" s="1317" t="s">
        <v>1372</v>
      </c>
      <c r="O79" s="1317" t="s">
        <v>1372</v>
      </c>
      <c r="P79" s="1317" t="s">
        <v>1373</v>
      </c>
      <c r="Q79" s="1317" t="s">
        <v>1373</v>
      </c>
      <c r="R79" s="1317" t="s">
        <v>1373</v>
      </c>
      <c r="S79" s="1317" t="s">
        <v>1374</v>
      </c>
      <c r="T79" s="1317" t="s">
        <v>1374</v>
      </c>
      <c r="U79" s="1317" t="s">
        <v>1374</v>
      </c>
      <c r="V79" s="737"/>
    </row>
    <row r="80" spans="1:22" s="1174" customFormat="1" ht="13.5" thickBot="1" x14ac:dyDescent="0.25">
      <c r="A80" s="1315" t="s">
        <v>1468</v>
      </c>
      <c r="B80" s="1334"/>
      <c r="C80" s="1334"/>
      <c r="D80" s="1064" t="s">
        <v>1439</v>
      </c>
      <c r="E80" s="1064" t="s">
        <v>1440</v>
      </c>
      <c r="F80" s="1064" t="s">
        <v>1441</v>
      </c>
      <c r="G80" s="1064" t="s">
        <v>1439</v>
      </c>
      <c r="H80" s="1064" t="s">
        <v>1440</v>
      </c>
      <c r="I80" s="1064" t="s">
        <v>1441</v>
      </c>
      <c r="J80" s="1317" t="s">
        <v>1439</v>
      </c>
      <c r="K80" s="1317" t="s">
        <v>1440</v>
      </c>
      <c r="L80" s="1317" t="s">
        <v>1441</v>
      </c>
      <c r="M80" s="1317" t="s">
        <v>1439</v>
      </c>
      <c r="N80" s="1317" t="s">
        <v>1440</v>
      </c>
      <c r="O80" s="1317" t="s">
        <v>1441</v>
      </c>
      <c r="P80" s="1317" t="s">
        <v>1439</v>
      </c>
      <c r="Q80" s="1317" t="s">
        <v>1440</v>
      </c>
      <c r="R80" s="1317" t="s">
        <v>1441</v>
      </c>
      <c r="S80" s="1317" t="s">
        <v>1439</v>
      </c>
      <c r="T80" s="1317" t="s">
        <v>1440</v>
      </c>
      <c r="U80" s="1317" t="s">
        <v>1441</v>
      </c>
      <c r="V80" s="737"/>
    </row>
    <row r="81" spans="1:22" s="1076" customFormat="1" ht="13.5" thickBot="1" x14ac:dyDescent="0.25">
      <c r="A81" s="1064" t="s">
        <v>1337</v>
      </c>
      <c r="B81" s="1317"/>
      <c r="C81" s="1064">
        <v>7027</v>
      </c>
      <c r="D81" s="1324">
        <v>0</v>
      </c>
      <c r="E81" s="1325">
        <v>0</v>
      </c>
      <c r="F81" s="1325">
        <v>0</v>
      </c>
      <c r="G81" s="1325">
        <v>0</v>
      </c>
      <c r="H81" s="1325">
        <v>0</v>
      </c>
      <c r="I81" s="1325">
        <v>0</v>
      </c>
      <c r="J81" s="1325">
        <v>0</v>
      </c>
      <c r="K81" s="1325">
        <v>0</v>
      </c>
      <c r="L81" s="1325">
        <v>0</v>
      </c>
      <c r="M81" s="1325">
        <v>0</v>
      </c>
      <c r="N81" s="1325">
        <v>0</v>
      </c>
      <c r="O81" s="1325">
        <v>166083.59105431312</v>
      </c>
      <c r="P81" s="1325">
        <v>0</v>
      </c>
      <c r="Q81" s="1325">
        <v>0</v>
      </c>
      <c r="R81" s="1325">
        <v>210211.40894568694</v>
      </c>
      <c r="S81" s="1325">
        <v>0</v>
      </c>
      <c r="T81" s="1325">
        <v>0</v>
      </c>
      <c r="U81" s="1325">
        <v>0</v>
      </c>
      <c r="V81" s="1326">
        <v>376295.00000000006</v>
      </c>
    </row>
    <row r="82" spans="1:22" s="1174" customFormat="1" x14ac:dyDescent="0.2">
      <c r="A82" s="241"/>
      <c r="B82" s="793"/>
      <c r="C82" s="793"/>
      <c r="J82" s="1193"/>
      <c r="K82" s="1193"/>
      <c r="L82" s="1193"/>
      <c r="M82" s="1193"/>
      <c r="N82" s="1193"/>
      <c r="O82" s="1193"/>
      <c r="P82" s="1193"/>
      <c r="Q82" s="1193"/>
      <c r="R82" s="1193"/>
      <c r="S82" s="1193"/>
      <c r="T82" s="1193"/>
      <c r="U82" s="1193"/>
      <c r="V82" s="1193"/>
    </row>
    <row r="83" spans="1:22" s="1174" customFormat="1" x14ac:dyDescent="0.2">
      <c r="A83" s="241"/>
      <c r="B83" s="793"/>
      <c r="C83" s="793"/>
      <c r="J83" s="1193"/>
      <c r="K83" s="1193"/>
      <c r="L83" s="1193"/>
      <c r="M83" s="1193"/>
      <c r="N83" s="1193"/>
      <c r="O83" s="1193"/>
      <c r="P83" s="1193"/>
      <c r="Q83" s="1193"/>
      <c r="R83" s="1193"/>
      <c r="S83" s="1193"/>
      <c r="T83" s="1193"/>
      <c r="U83" s="1193"/>
      <c r="V83" s="1193"/>
    </row>
    <row r="84" spans="1:22" s="1174" customFormat="1" x14ac:dyDescent="0.2">
      <c r="A84" s="241"/>
      <c r="B84" s="793"/>
      <c r="C84" s="793"/>
      <c r="J84" s="1193"/>
      <c r="K84" s="1193"/>
      <c r="L84" s="1193"/>
      <c r="M84" s="1193"/>
      <c r="N84" s="1193"/>
      <c r="O84" s="1193"/>
      <c r="P84" s="1193"/>
      <c r="Q84" s="1193"/>
      <c r="R84" s="1193"/>
      <c r="S84" s="1193"/>
      <c r="T84" s="1193"/>
      <c r="U84" s="1193"/>
      <c r="V84" s="1193"/>
    </row>
    <row r="85" spans="1:22" s="1174" customFormat="1" ht="13.5" thickBot="1" x14ac:dyDescent="0.25">
      <c r="A85" s="701"/>
      <c r="B85" s="793"/>
      <c r="C85" s="793"/>
      <c r="J85" s="1193"/>
      <c r="K85" s="1193"/>
      <c r="L85" s="1193"/>
      <c r="M85" s="1193"/>
      <c r="N85" s="1193"/>
      <c r="O85" s="1193"/>
      <c r="P85" s="1193"/>
      <c r="Q85" s="1193"/>
      <c r="R85" s="1193"/>
      <c r="S85" s="1193"/>
      <c r="T85" s="1193"/>
      <c r="U85" s="1193"/>
      <c r="V85" s="1193"/>
    </row>
    <row r="86" spans="1:22" s="1076" customFormat="1" ht="13.5" thickBot="1" x14ac:dyDescent="0.25">
      <c r="A86" s="1188" t="s">
        <v>1445</v>
      </c>
      <c r="B86" s="1189"/>
      <c r="C86" s="1189"/>
      <c r="D86" s="1159">
        <v>276500</v>
      </c>
      <c r="E86" s="1159">
        <v>0</v>
      </c>
      <c r="F86" s="1159">
        <v>351111.60000000003</v>
      </c>
      <c r="G86" s="1159">
        <v>276500</v>
      </c>
      <c r="H86" s="1159">
        <v>0</v>
      </c>
      <c r="I86" s="1159">
        <v>390002.65055353416</v>
      </c>
      <c r="J86" s="1159">
        <v>0</v>
      </c>
      <c r="K86" s="1159">
        <v>13314.260090178153</v>
      </c>
      <c r="L86" s="1159">
        <v>852634.52723163611</v>
      </c>
      <c r="M86" s="1159">
        <v>168887.29160233031</v>
      </c>
      <c r="N86" s="1159">
        <v>260365.81120266634</v>
      </c>
      <c r="O86" s="1159">
        <v>1591128.5016105708</v>
      </c>
      <c r="P86" s="1159">
        <v>372847.70908577717</v>
      </c>
      <c r="Q86" s="1159">
        <v>626030.99393694848</v>
      </c>
      <c r="R86" s="1159">
        <v>2314951.9508394557</v>
      </c>
      <c r="S86" s="1159">
        <v>42315.810239549086</v>
      </c>
      <c r="T86" s="1159">
        <v>145938.3017767565</v>
      </c>
      <c r="U86" s="1159">
        <v>342865.22470836644</v>
      </c>
      <c r="V86" s="1190">
        <v>8025394.6328777699</v>
      </c>
    </row>
    <row r="87" spans="1:22" s="1174" customFormat="1" x14ac:dyDescent="0.2">
      <c r="A87" s="241"/>
      <c r="B87" s="793"/>
      <c r="C87" s="793"/>
      <c r="J87" s="1193"/>
      <c r="K87" s="1193"/>
      <c r="L87" s="1193"/>
      <c r="M87" s="1193"/>
      <c r="N87" s="1193"/>
      <c r="O87" s="1193"/>
      <c r="P87" s="1193"/>
      <c r="Q87" s="1193"/>
      <c r="R87" s="1193"/>
      <c r="S87" s="1193"/>
      <c r="T87" s="1193"/>
      <c r="U87" s="1193"/>
      <c r="V87" s="1193"/>
    </row>
    <row r="88" spans="1:22" s="1174" customFormat="1" x14ac:dyDescent="0.2">
      <c r="A88" s="241"/>
      <c r="B88" s="793"/>
      <c r="C88" s="793"/>
      <c r="J88" s="1193"/>
      <c r="K88" s="1193"/>
      <c r="L88" s="1193"/>
      <c r="M88" s="1193"/>
      <c r="N88" s="1193"/>
      <c r="O88" s="1193"/>
      <c r="P88" s="1193"/>
      <c r="Q88" s="1193"/>
      <c r="R88" s="1193"/>
      <c r="S88" s="1193"/>
      <c r="T88" s="1193"/>
      <c r="U88" s="1193"/>
      <c r="V88" s="1193"/>
    </row>
    <row r="89" spans="1:22" s="1174" customFormat="1" x14ac:dyDescent="0.2">
      <c r="A89" s="797"/>
      <c r="B89" s="793"/>
      <c r="C89" s="793"/>
      <c r="J89" s="1193"/>
      <c r="K89" s="1193"/>
      <c r="L89" s="1193"/>
      <c r="M89" s="1193"/>
      <c r="N89" s="1193"/>
      <c r="O89" s="1193"/>
      <c r="P89" s="1193"/>
      <c r="Q89" s="1193"/>
      <c r="R89" s="1193"/>
      <c r="S89" s="1193"/>
      <c r="T89" s="1193"/>
      <c r="U89" s="1193"/>
      <c r="V89" s="1193"/>
    </row>
    <row r="90" spans="1:22" s="1174" customFormat="1" x14ac:dyDescent="0.2">
      <c r="A90" s="241"/>
      <c r="B90" s="793"/>
      <c r="C90" s="793"/>
      <c r="J90" s="1193"/>
      <c r="K90" s="1193"/>
      <c r="L90" s="1193"/>
      <c r="M90" s="1193"/>
      <c r="N90" s="1193"/>
      <c r="O90" s="1193"/>
      <c r="P90" s="1193"/>
      <c r="Q90" s="1193"/>
      <c r="R90" s="1193"/>
      <c r="S90" s="1193"/>
      <c r="T90" s="1193"/>
      <c r="U90" s="1193"/>
      <c r="V90" s="6"/>
    </row>
    <row r="91" spans="1:22" s="1174" customFormat="1" x14ac:dyDescent="0.2">
      <c r="A91" s="241"/>
      <c r="B91" s="793"/>
      <c r="C91" s="793"/>
      <c r="J91" s="1193"/>
      <c r="K91" s="1193"/>
      <c r="L91" s="1193"/>
      <c r="M91" s="1193"/>
      <c r="N91" s="1193"/>
      <c r="O91" s="1193"/>
      <c r="P91" s="1193"/>
      <c r="Q91" s="1193"/>
      <c r="R91" s="1193"/>
      <c r="S91" s="1193"/>
      <c r="T91" s="1193"/>
      <c r="U91" s="1193"/>
      <c r="V91" s="1193"/>
    </row>
    <row r="92" spans="1:22" s="1174" customFormat="1" x14ac:dyDescent="0.2">
      <c r="A92" s="241"/>
      <c r="B92" s="793"/>
      <c r="C92" s="793"/>
      <c r="J92" s="1193"/>
      <c r="K92" s="1193"/>
      <c r="L92" s="1193"/>
      <c r="M92" s="1193"/>
      <c r="N92" s="1193"/>
      <c r="O92" s="1193"/>
      <c r="P92" s="1193"/>
      <c r="Q92" s="1193"/>
      <c r="R92" s="1193"/>
      <c r="S92" s="1193"/>
      <c r="T92" s="1193"/>
      <c r="U92" s="1193"/>
      <c r="V92" s="1193"/>
    </row>
    <row r="93" spans="1:22" s="1174" customFormat="1" x14ac:dyDescent="0.2">
      <c r="A93" s="241"/>
      <c r="B93" s="793"/>
      <c r="C93" s="793"/>
      <c r="J93" s="1193"/>
      <c r="K93" s="1193"/>
      <c r="L93" s="1193"/>
      <c r="M93" s="1193"/>
      <c r="N93" s="1193"/>
      <c r="O93" s="1193"/>
      <c r="P93" s="1193"/>
      <c r="Q93" s="1193"/>
      <c r="R93" s="1193"/>
      <c r="S93" s="1193"/>
      <c r="T93" s="1193"/>
      <c r="U93" s="1193"/>
      <c r="V93" s="1193"/>
    </row>
    <row r="94" spans="1:22" s="1174" customFormat="1" x14ac:dyDescent="0.2">
      <c r="A94" s="241"/>
      <c r="B94" s="793"/>
      <c r="C94" s="793"/>
      <c r="J94" s="1193"/>
      <c r="K94" s="1193"/>
      <c r="L94" s="1193"/>
      <c r="M94" s="1193"/>
      <c r="N94" s="1193"/>
      <c r="O94" s="1193"/>
      <c r="P94" s="1193"/>
      <c r="Q94" s="1193"/>
      <c r="R94" s="1193"/>
      <c r="S94" s="1193"/>
      <c r="T94" s="1193"/>
      <c r="U94" s="1193"/>
      <c r="V94" s="1193"/>
    </row>
    <row r="95" spans="1:22" s="1174" customFormat="1" x14ac:dyDescent="0.2">
      <c r="A95" s="241"/>
      <c r="B95" s="793"/>
      <c r="C95" s="793"/>
      <c r="J95" s="1193"/>
      <c r="K95" s="1193"/>
      <c r="L95" s="1193"/>
      <c r="M95" s="1193"/>
      <c r="N95" s="1193"/>
      <c r="O95" s="1193"/>
      <c r="P95" s="1193"/>
      <c r="Q95" s="1193"/>
      <c r="R95" s="1193"/>
      <c r="S95" s="1193"/>
      <c r="T95" s="1193"/>
      <c r="U95" s="1193"/>
      <c r="V95" s="1193"/>
    </row>
    <row r="96" spans="1:22" s="1174" customFormat="1" x14ac:dyDescent="0.2">
      <c r="A96" s="241"/>
      <c r="B96" s="793"/>
      <c r="C96" s="793"/>
      <c r="J96" s="1193"/>
      <c r="K96" s="1193"/>
      <c r="L96" s="1193"/>
      <c r="M96" s="1193"/>
      <c r="N96" s="1193"/>
      <c r="O96" s="1193"/>
      <c r="P96" s="1193"/>
      <c r="Q96" s="1193"/>
      <c r="R96" s="1193"/>
      <c r="S96" s="1193"/>
      <c r="T96" s="1193"/>
      <c r="U96" s="1193"/>
      <c r="V96" s="1193"/>
    </row>
    <row r="97" spans="1:22" s="1174" customFormat="1" x14ac:dyDescent="0.2">
      <c r="A97" s="701"/>
      <c r="B97" s="793"/>
      <c r="J97" s="1193"/>
      <c r="K97" s="1193"/>
      <c r="L97" s="1193"/>
      <c r="M97" s="1193"/>
      <c r="N97" s="1193"/>
      <c r="O97" s="1193"/>
      <c r="P97" s="1193"/>
      <c r="Q97" s="1193"/>
      <c r="R97" s="1193"/>
      <c r="S97" s="1193"/>
      <c r="T97" s="1193"/>
      <c r="U97" s="1193"/>
      <c r="V97" s="1193"/>
    </row>
    <row r="98" spans="1:22" s="1174" customFormat="1" x14ac:dyDescent="0.2">
      <c r="A98" s="701"/>
      <c r="B98" s="793"/>
      <c r="J98" s="1193"/>
      <c r="K98" s="1193"/>
      <c r="L98" s="1193"/>
      <c r="M98" s="1193"/>
      <c r="N98" s="1193"/>
      <c r="O98" s="1193"/>
      <c r="P98" s="1193"/>
      <c r="Q98" s="1193"/>
      <c r="R98" s="1193"/>
      <c r="S98" s="1193"/>
      <c r="T98" s="1193"/>
      <c r="U98" s="1193"/>
      <c r="V98" s="1193"/>
    </row>
    <row r="99" spans="1:22" s="1174" customFormat="1" x14ac:dyDescent="0.2">
      <c r="A99" s="701"/>
      <c r="B99" s="793"/>
      <c r="J99" s="1193"/>
      <c r="K99" s="1193"/>
      <c r="L99" s="1193"/>
      <c r="M99" s="1193"/>
      <c r="N99" s="1193"/>
      <c r="O99" s="1193"/>
      <c r="P99" s="1193"/>
      <c r="Q99" s="1193"/>
      <c r="R99" s="1193"/>
      <c r="S99" s="1193"/>
      <c r="T99" s="1193"/>
      <c r="U99" s="1193"/>
      <c r="V99" s="1193"/>
    </row>
    <row r="100" spans="1:22" s="1174" customFormat="1" x14ac:dyDescent="0.2">
      <c r="A100" s="241"/>
      <c r="B100" s="793"/>
      <c r="J100" s="1193"/>
      <c r="K100" s="1193"/>
      <c r="L100" s="1193"/>
      <c r="M100" s="1193"/>
      <c r="N100" s="1193"/>
      <c r="O100" s="1193"/>
      <c r="P100" s="1193"/>
      <c r="Q100" s="1193"/>
      <c r="R100" s="1193"/>
      <c r="S100" s="1193"/>
      <c r="T100" s="1193"/>
      <c r="U100" s="1193"/>
      <c r="V100" s="1193"/>
    </row>
    <row r="101" spans="1:22" s="1174" customFormat="1" x14ac:dyDescent="0.2">
      <c r="A101" s="241"/>
      <c r="B101" s="241"/>
      <c r="J101" s="1193"/>
      <c r="K101" s="1193"/>
      <c r="L101" s="1193"/>
      <c r="M101" s="1193"/>
      <c r="N101" s="1193"/>
      <c r="O101" s="1193"/>
      <c r="P101" s="1193"/>
      <c r="Q101" s="1193"/>
      <c r="R101" s="1193"/>
      <c r="S101" s="1193"/>
      <c r="T101" s="1193"/>
      <c r="U101" s="1193"/>
      <c r="V101" s="1193"/>
    </row>
    <row r="102" spans="1:22" s="1174" customFormat="1" x14ac:dyDescent="0.2">
      <c r="A102" s="241"/>
      <c r="B102" s="793"/>
      <c r="J102" s="1193"/>
      <c r="K102" s="1193"/>
      <c r="L102" s="1193"/>
      <c r="M102" s="1193"/>
      <c r="N102" s="1193"/>
      <c r="O102" s="1193"/>
      <c r="P102" s="1193"/>
      <c r="Q102" s="1193"/>
      <c r="R102" s="1193"/>
      <c r="S102" s="1193"/>
      <c r="T102" s="1193"/>
      <c r="U102" s="1193"/>
      <c r="V102" s="1193"/>
    </row>
    <row r="103" spans="1:22" s="1174" customFormat="1" x14ac:dyDescent="0.2">
      <c r="A103" s="241"/>
      <c r="B103" s="793"/>
      <c r="J103" s="1193"/>
      <c r="K103" s="1193"/>
      <c r="L103" s="1193"/>
      <c r="M103" s="1193"/>
      <c r="N103" s="1193"/>
      <c r="O103" s="1193"/>
      <c r="P103" s="1193"/>
      <c r="Q103" s="1193"/>
      <c r="R103" s="1193"/>
      <c r="S103" s="1193"/>
      <c r="T103" s="1193"/>
      <c r="U103" s="1193"/>
      <c r="V103" s="1193"/>
    </row>
    <row r="104" spans="1:22" s="1174" customFormat="1" x14ac:dyDescent="0.2">
      <c r="A104" s="241"/>
      <c r="B104" s="793"/>
      <c r="J104" s="1193"/>
      <c r="K104" s="1193"/>
      <c r="L104" s="1193"/>
      <c r="M104" s="1193"/>
      <c r="N104" s="1193"/>
      <c r="O104" s="1193"/>
      <c r="P104" s="1193"/>
      <c r="Q104" s="1193"/>
      <c r="R104" s="1193"/>
      <c r="S104" s="1193"/>
      <c r="T104" s="1193"/>
      <c r="U104" s="1193"/>
      <c r="V104" s="1193"/>
    </row>
    <row r="105" spans="1:22" s="1174" customFormat="1" x14ac:dyDescent="0.2">
      <c r="A105" s="241"/>
      <c r="B105" s="793"/>
      <c r="J105" s="1193"/>
      <c r="K105" s="1193"/>
      <c r="L105" s="1193"/>
      <c r="M105" s="1193"/>
      <c r="N105" s="1193"/>
      <c r="O105" s="1193"/>
      <c r="P105" s="1193"/>
      <c r="Q105" s="1193"/>
      <c r="R105" s="1193"/>
      <c r="S105" s="1193"/>
      <c r="T105" s="1193"/>
      <c r="U105" s="1193"/>
      <c r="V105" s="1193"/>
    </row>
    <row r="106" spans="1:22" s="1174" customFormat="1" x14ac:dyDescent="0.2">
      <c r="A106" s="241"/>
      <c r="B106" s="793"/>
      <c r="J106" s="1193"/>
      <c r="K106" s="1193"/>
      <c r="L106" s="1193"/>
      <c r="M106" s="1193"/>
      <c r="N106" s="1193"/>
      <c r="O106" s="1193"/>
      <c r="P106" s="1193"/>
      <c r="Q106" s="1193"/>
      <c r="R106" s="1193"/>
      <c r="S106" s="1193"/>
      <c r="T106" s="1193"/>
      <c r="U106" s="1193"/>
      <c r="V106" s="1193"/>
    </row>
    <row r="107" spans="1:22" s="1174" customFormat="1" x14ac:dyDescent="0.2">
      <c r="A107" s="241"/>
      <c r="B107" s="793"/>
      <c r="J107" s="1193"/>
      <c r="K107" s="1193"/>
      <c r="L107" s="1193"/>
      <c r="M107" s="1193"/>
      <c r="N107" s="1193"/>
      <c r="O107" s="1193"/>
      <c r="P107" s="1193"/>
      <c r="Q107" s="1193"/>
      <c r="R107" s="1193"/>
      <c r="S107" s="1193"/>
      <c r="T107" s="1193"/>
      <c r="U107" s="1193"/>
      <c r="V107" s="1193"/>
    </row>
    <row r="108" spans="1:22" s="1174" customFormat="1" x14ac:dyDescent="0.2">
      <c r="A108" s="241"/>
      <c r="B108" s="793"/>
      <c r="J108" s="1193"/>
      <c r="K108" s="1193"/>
      <c r="L108" s="1193"/>
      <c r="M108" s="1193"/>
      <c r="N108" s="1193"/>
      <c r="O108" s="1193"/>
      <c r="P108" s="1193"/>
      <c r="Q108" s="1193"/>
      <c r="R108" s="1193"/>
      <c r="S108" s="1193"/>
      <c r="T108" s="1193"/>
      <c r="U108" s="1193"/>
      <c r="V108" s="1193"/>
    </row>
    <row r="109" spans="1:22" s="1174" customFormat="1" x14ac:dyDescent="0.2">
      <c r="A109" s="241"/>
      <c r="B109" s="793"/>
      <c r="J109" s="1193"/>
      <c r="K109" s="1193"/>
      <c r="L109" s="1193"/>
      <c r="M109" s="1193"/>
      <c r="N109" s="1193"/>
      <c r="O109" s="1193"/>
      <c r="P109" s="1193"/>
      <c r="Q109" s="1193"/>
      <c r="R109" s="1193"/>
      <c r="S109" s="1193"/>
      <c r="T109" s="1193"/>
      <c r="U109" s="1193"/>
      <c r="V109" s="1193"/>
    </row>
    <row r="110" spans="1:22" s="1174" customFormat="1" x14ac:dyDescent="0.2">
      <c r="A110" s="241"/>
      <c r="B110" s="793"/>
      <c r="J110" s="1193"/>
      <c r="K110" s="1193"/>
      <c r="L110" s="1193"/>
      <c r="M110" s="1193"/>
      <c r="N110" s="1193"/>
      <c r="O110" s="1193"/>
      <c r="P110" s="1193"/>
      <c r="Q110" s="1193"/>
      <c r="R110" s="1193"/>
      <c r="S110" s="1193"/>
      <c r="T110" s="1193"/>
      <c r="U110" s="1193"/>
      <c r="V110" s="1193"/>
    </row>
    <row r="111" spans="1:22" s="1174" customFormat="1" x14ac:dyDescent="0.2">
      <c r="A111" s="241"/>
      <c r="B111" s="793"/>
      <c r="J111" s="1193"/>
      <c r="K111" s="1193"/>
      <c r="L111" s="1193"/>
      <c r="M111" s="1193"/>
      <c r="N111" s="1193"/>
      <c r="O111" s="1193"/>
      <c r="P111" s="1193"/>
      <c r="Q111" s="1193"/>
      <c r="R111" s="1193"/>
      <c r="S111" s="1193"/>
      <c r="T111" s="1193"/>
      <c r="U111" s="1193"/>
      <c r="V111" s="1193"/>
    </row>
    <row r="112" spans="1:22" s="1174" customFormat="1" x14ac:dyDescent="0.2">
      <c r="A112" s="241"/>
      <c r="B112" s="793"/>
      <c r="J112" s="1193"/>
      <c r="K112" s="1193"/>
      <c r="L112" s="1193"/>
      <c r="M112" s="1193"/>
      <c r="N112" s="1193"/>
      <c r="O112" s="1193"/>
      <c r="P112" s="1193"/>
      <c r="Q112" s="1193"/>
      <c r="R112" s="1193"/>
      <c r="S112" s="1193"/>
      <c r="T112" s="1193"/>
      <c r="U112" s="1193"/>
      <c r="V112" s="1193"/>
    </row>
    <row r="113" spans="1:22" s="1174" customFormat="1" x14ac:dyDescent="0.2">
      <c r="A113" s="241"/>
      <c r="B113" s="793"/>
      <c r="J113" s="1193"/>
      <c r="K113" s="1193"/>
      <c r="L113" s="1193"/>
      <c r="M113" s="1193"/>
      <c r="N113" s="1193"/>
      <c r="O113" s="1193"/>
      <c r="P113" s="1193"/>
      <c r="Q113" s="1193"/>
      <c r="R113" s="1193"/>
      <c r="S113" s="1193"/>
      <c r="T113" s="1193"/>
      <c r="U113" s="1193"/>
      <c r="V113" s="1193"/>
    </row>
    <row r="114" spans="1:22" s="1174" customFormat="1" x14ac:dyDescent="0.2">
      <c r="A114" s="241"/>
      <c r="B114" s="793"/>
      <c r="J114" s="1193"/>
      <c r="K114" s="1193"/>
      <c r="L114" s="1193"/>
      <c r="M114" s="1193"/>
      <c r="N114" s="1193"/>
      <c r="O114" s="1193"/>
      <c r="P114" s="1193"/>
      <c r="Q114" s="1193"/>
      <c r="R114" s="1193"/>
      <c r="S114" s="1193"/>
      <c r="T114" s="1193"/>
      <c r="U114" s="1193"/>
      <c r="V114" s="1193"/>
    </row>
    <row r="115" spans="1:22" s="1174" customFormat="1" x14ac:dyDescent="0.2">
      <c r="A115" s="241"/>
      <c r="B115" s="793"/>
      <c r="J115" s="1193"/>
      <c r="K115" s="1193"/>
      <c r="L115" s="1193"/>
      <c r="M115" s="1193"/>
      <c r="N115" s="1193"/>
      <c r="O115" s="1193"/>
      <c r="P115" s="1193"/>
      <c r="Q115" s="1193"/>
      <c r="R115" s="1193"/>
      <c r="S115" s="1193"/>
      <c r="T115" s="1193"/>
      <c r="U115" s="1193"/>
      <c r="V115" s="1193"/>
    </row>
  </sheetData>
  <sheetProtection password="EF5C" sheet="1" objects="1" scenarios="1"/>
  <pageMargins left="0.7" right="0.7" top="0.75" bottom="0.75" header="0.3" footer="0.3"/>
  <pageSetup paperSize="8" scale="68" orientation="landscape" r:id="rId1"/>
  <headerFooter>
    <oddHeader>&amp;CSpecial Places Indicative funding 2013-14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Q8" sqref="Q8"/>
    </sheetView>
  </sheetViews>
  <sheetFormatPr defaultRowHeight="12.75" x14ac:dyDescent="0.2"/>
  <cols>
    <col min="1" max="1" width="23.28515625" customWidth="1"/>
    <col min="8" max="8" width="11.42578125" bestFit="1" customWidth="1"/>
  </cols>
  <sheetData>
    <row r="1" spans="1:8" x14ac:dyDescent="0.2">
      <c r="A1" t="s">
        <v>1068</v>
      </c>
      <c r="H1" s="741"/>
    </row>
    <row r="2" spans="1:8" x14ac:dyDescent="0.2">
      <c r="A2" t="s">
        <v>1335</v>
      </c>
      <c r="B2" t="s">
        <v>1336</v>
      </c>
      <c r="C2" s="741">
        <v>7026</v>
      </c>
    </row>
    <row r="3" spans="1:8" x14ac:dyDescent="0.2">
      <c r="A3" t="s">
        <v>1337</v>
      </c>
      <c r="B3" t="s">
        <v>1338</v>
      </c>
      <c r="C3">
        <v>7027</v>
      </c>
    </row>
    <row r="4" spans="1:8" x14ac:dyDescent="0.2">
      <c r="A4" t="s">
        <v>1339</v>
      </c>
      <c r="B4" t="s">
        <v>1340</v>
      </c>
      <c r="C4">
        <v>7025</v>
      </c>
    </row>
    <row r="5" spans="1:8" x14ac:dyDescent="0.2">
      <c r="A5" t="s">
        <v>1341</v>
      </c>
      <c r="B5" t="s">
        <v>1342</v>
      </c>
      <c r="C5">
        <v>7024</v>
      </c>
    </row>
    <row r="6" spans="1:8" x14ac:dyDescent="0.2">
      <c r="A6" t="s">
        <v>1343</v>
      </c>
      <c r="B6" t="s">
        <v>1344</v>
      </c>
      <c r="C6">
        <v>7021</v>
      </c>
    </row>
    <row r="7" spans="1:8" x14ac:dyDescent="0.2">
      <c r="A7" t="s">
        <v>1038</v>
      </c>
      <c r="B7">
        <v>3014104</v>
      </c>
      <c r="C7">
        <v>7029</v>
      </c>
    </row>
    <row r="8" spans="1:8" x14ac:dyDescent="0.2">
      <c r="A8" s="741" t="s">
        <v>1346</v>
      </c>
      <c r="B8">
        <v>3014103</v>
      </c>
      <c r="C8">
        <v>1104</v>
      </c>
    </row>
    <row r="9" spans="1:8" x14ac:dyDescent="0.2">
      <c r="A9" s="741" t="s">
        <v>1345</v>
      </c>
      <c r="B9">
        <v>3014104</v>
      </c>
      <c r="C9">
        <v>1103</v>
      </c>
    </row>
    <row r="10" spans="1:8" x14ac:dyDescent="0.2">
      <c r="A10" s="741" t="s">
        <v>1347</v>
      </c>
      <c r="C10" s="1154" t="s">
        <v>931</v>
      </c>
    </row>
  </sheetData>
  <sheetProtection password="EF5C"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44"/>
  <sheetViews>
    <sheetView topLeftCell="A4" zoomScaleNormal="100" workbookViewId="0">
      <pane xSplit="1" ySplit="3" topLeftCell="B7" activePane="bottomRight" state="frozen"/>
      <selection activeCell="Q8" sqref="Q8"/>
      <selection pane="topRight" activeCell="Q8" sqref="Q8"/>
      <selection pane="bottomLeft" activeCell="Q8" sqref="Q8"/>
      <selection pane="bottomRight" activeCell="Q8" sqref="Q8"/>
    </sheetView>
  </sheetViews>
  <sheetFormatPr defaultRowHeight="12.75" x14ac:dyDescent="0.2"/>
  <cols>
    <col min="1" max="1" width="33" customWidth="1"/>
    <col min="2" max="2" width="7" customWidth="1"/>
    <col min="3" max="7" width="9.5703125" customWidth="1"/>
    <col min="8" max="8" width="3.5703125" customWidth="1"/>
    <col min="9" max="9" width="17.28515625" hidden="1" customWidth="1"/>
    <col min="10" max="10" width="2.5703125" hidden="1" customWidth="1"/>
    <col min="11" max="11" width="17.28515625" hidden="1" customWidth="1"/>
    <col min="12" max="14" width="9.140625" hidden="1" customWidth="1"/>
    <col min="15" max="15" width="2.85546875" hidden="1" customWidth="1"/>
    <col min="16" max="17" width="18.140625" hidden="1" customWidth="1"/>
    <col min="18" max="21" width="18.7109375" hidden="1" customWidth="1"/>
    <col min="22" max="22" width="15.28515625" hidden="1" customWidth="1"/>
    <col min="23" max="24" width="10.28515625" hidden="1" customWidth="1"/>
    <col min="25" max="26" width="12.28515625" customWidth="1"/>
    <col min="27" max="27" width="10.28515625" customWidth="1"/>
    <col min="28" max="28" width="12.140625" bestFit="1" customWidth="1"/>
    <col min="29" max="29" width="13.28515625" bestFit="1" customWidth="1"/>
    <col min="30" max="31" width="12.28515625" customWidth="1"/>
    <col min="32" max="32" width="12.28515625" hidden="1" customWidth="1"/>
    <col min="33" max="33" width="12.28515625" style="42" hidden="1" customWidth="1"/>
    <col min="34" max="34" width="12.5703125" hidden="1" customWidth="1"/>
    <col min="35" max="35" width="12.5703125" style="42" hidden="1" customWidth="1"/>
    <col min="36" max="36" width="10.28515625" hidden="1" customWidth="1"/>
    <col min="37" max="37" width="10.28515625" customWidth="1"/>
    <col min="38" max="38" width="2" customWidth="1"/>
    <col min="45" max="45" width="2" customWidth="1"/>
    <col min="52" max="52" width="1.85546875" customWidth="1"/>
    <col min="54" max="54" width="11.28515625" bestFit="1" customWidth="1"/>
    <col min="55" max="55" width="12.28515625" bestFit="1" customWidth="1"/>
    <col min="56" max="56" width="9.7109375" bestFit="1" customWidth="1"/>
    <col min="57" max="57" width="9.7109375" customWidth="1"/>
    <col min="58" max="58" width="9.7109375" bestFit="1" customWidth="1"/>
    <col min="59" max="59" width="1.7109375" customWidth="1"/>
    <col min="61" max="63" width="9.7109375" bestFit="1" customWidth="1"/>
    <col min="64" max="64" width="9.7109375" customWidth="1"/>
    <col min="65" max="65" width="9.7109375" bestFit="1" customWidth="1"/>
    <col min="66" max="66" width="2.85546875" customWidth="1"/>
    <col min="67" max="67" width="11.28515625" style="22" bestFit="1" customWidth="1"/>
  </cols>
  <sheetData>
    <row r="1" spans="1:68" ht="18" x14ac:dyDescent="0.25">
      <c r="A1" s="1056" t="s">
        <v>1395</v>
      </c>
      <c r="B1" s="1056"/>
      <c r="C1" s="1056"/>
      <c r="D1" s="1056"/>
      <c r="E1" s="1056"/>
      <c r="F1" s="1056"/>
      <c r="G1" s="1056"/>
    </row>
    <row r="2" spans="1:68" x14ac:dyDescent="0.2">
      <c r="A2" t="s">
        <v>1396</v>
      </c>
      <c r="I2" t="s">
        <v>1354</v>
      </c>
      <c r="P2" t="s">
        <v>1355</v>
      </c>
      <c r="Q2" s="1057" t="s">
        <v>1356</v>
      </c>
      <c r="R2" s="1348" t="s">
        <v>1357</v>
      </c>
      <c r="S2" s="1349"/>
      <c r="T2" s="1349"/>
      <c r="U2" s="1350"/>
      <c r="V2" s="1348" t="s">
        <v>1358</v>
      </c>
      <c r="W2" s="1349"/>
      <c r="X2" s="1350"/>
      <c r="Y2" s="1058"/>
      <c r="Z2" s="1058"/>
      <c r="AA2" s="1058"/>
      <c r="AB2" s="1058"/>
      <c r="AC2" s="1058"/>
      <c r="AD2" s="1058"/>
      <c r="AE2" s="1058"/>
      <c r="AF2" s="1058"/>
      <c r="AG2" s="812"/>
      <c r="AH2" s="1058"/>
      <c r="AI2" s="812"/>
      <c r="AJ2" s="1058"/>
      <c r="AK2" s="1058"/>
    </row>
    <row r="3" spans="1:68" x14ac:dyDescent="0.2">
      <c r="AE3" s="826"/>
      <c r="AK3" s="751"/>
      <c r="AM3" s="1059" t="s">
        <v>1359</v>
      </c>
      <c r="AN3" s="1060"/>
      <c r="AO3" s="1060"/>
      <c r="AP3" s="1060"/>
      <c r="AQ3" s="1060"/>
      <c r="AR3" s="1060"/>
      <c r="AT3" s="1061" t="s">
        <v>1360</v>
      </c>
      <c r="AU3" s="1062"/>
      <c r="AV3" s="1062"/>
      <c r="AW3" s="1062"/>
      <c r="AX3" s="1062"/>
      <c r="AY3" s="1062"/>
      <c r="BA3" s="1063" t="s">
        <v>1361</v>
      </c>
      <c r="BB3" s="1060"/>
      <c r="BC3" s="1060"/>
      <c r="BD3" s="1060"/>
      <c r="BE3" s="1060"/>
      <c r="BF3" s="1060"/>
      <c r="BH3" s="1064" t="s">
        <v>1362</v>
      </c>
      <c r="BI3" s="1062"/>
      <c r="BJ3" s="1062"/>
      <c r="BK3" s="1062"/>
      <c r="BL3" s="1062"/>
      <c r="BM3" s="1062"/>
      <c r="BO3" s="15" t="s">
        <v>1363</v>
      </c>
    </row>
    <row r="4" spans="1:68" x14ac:dyDescent="0.2">
      <c r="A4" s="151" t="s">
        <v>1364</v>
      </c>
      <c r="B4" s="28"/>
      <c r="C4" s="1065" t="s">
        <v>1365</v>
      </c>
      <c r="D4" s="1065"/>
      <c r="E4" s="1065"/>
      <c r="F4" s="1065"/>
      <c r="G4" s="1065"/>
      <c r="K4" s="1066" t="s">
        <v>1366</v>
      </c>
      <c r="L4" s="1067"/>
      <c r="M4" s="1067"/>
      <c r="N4" s="8"/>
      <c r="V4" t="s">
        <v>1367</v>
      </c>
      <c r="W4" t="s">
        <v>168</v>
      </c>
      <c r="X4" t="s">
        <v>167</v>
      </c>
      <c r="Y4" s="1351" t="s">
        <v>1368</v>
      </c>
      <c r="Z4" s="1351"/>
      <c r="AA4" s="1351" t="s">
        <v>1369</v>
      </c>
      <c r="AB4" s="1351"/>
      <c r="AE4" s="825" t="s">
        <v>1014</v>
      </c>
      <c r="AF4" s="741"/>
      <c r="AG4" s="755"/>
      <c r="AH4" s="741" t="s">
        <v>773</v>
      </c>
      <c r="AI4" s="755"/>
      <c r="AJ4" s="3"/>
      <c r="AK4" s="1068"/>
      <c r="AM4" s="1069" t="s">
        <v>1370</v>
      </c>
      <c r="AN4" s="1069" t="s">
        <v>1371</v>
      </c>
      <c r="AO4" s="1069" t="s">
        <v>1372</v>
      </c>
      <c r="AP4" s="1069" t="s">
        <v>1373</v>
      </c>
      <c r="AQ4" s="1069" t="s">
        <v>1374</v>
      </c>
      <c r="AR4" s="1069" t="s">
        <v>633</v>
      </c>
      <c r="AT4" s="1070" t="s">
        <v>1370</v>
      </c>
      <c r="AU4" s="1070" t="s">
        <v>1371</v>
      </c>
      <c r="AV4" s="1070" t="s">
        <v>1372</v>
      </c>
      <c r="AW4" s="1070" t="s">
        <v>1373</v>
      </c>
      <c r="AX4" s="1070" t="s">
        <v>1374</v>
      </c>
      <c r="AY4" s="1070" t="s">
        <v>633</v>
      </c>
      <c r="BA4" s="1069" t="s">
        <v>1370</v>
      </c>
      <c r="BB4" s="1069" t="s">
        <v>1371</v>
      </c>
      <c r="BC4" s="1069" t="s">
        <v>1372</v>
      </c>
      <c r="BD4" s="1069" t="s">
        <v>1373</v>
      </c>
      <c r="BE4" s="1069" t="s">
        <v>1374</v>
      </c>
      <c r="BF4" s="1069" t="s">
        <v>633</v>
      </c>
      <c r="BH4" s="1070" t="s">
        <v>1370</v>
      </c>
      <c r="BI4" s="1070" t="s">
        <v>1371</v>
      </c>
      <c r="BJ4" s="1070" t="s">
        <v>1372</v>
      </c>
      <c r="BK4" s="1070" t="s">
        <v>1373</v>
      </c>
      <c r="BL4" s="1070" t="s">
        <v>1374</v>
      </c>
      <c r="BM4" s="1070" t="s">
        <v>633</v>
      </c>
      <c r="BO4" s="131"/>
    </row>
    <row r="5" spans="1:68" ht="51" x14ac:dyDescent="0.2">
      <c r="A5" s="1071"/>
      <c r="B5" s="44"/>
      <c r="C5" s="3"/>
      <c r="D5" s="3"/>
      <c r="E5" s="3"/>
      <c r="F5" s="3"/>
      <c r="G5" s="3"/>
      <c r="K5" s="1072" t="s">
        <v>1370</v>
      </c>
      <c r="L5" s="1058" t="s">
        <v>1371</v>
      </c>
      <c r="M5" s="1058" t="s">
        <v>1372</v>
      </c>
      <c r="N5" s="1073" t="s">
        <v>1373</v>
      </c>
      <c r="R5" s="1058" t="s">
        <v>1370</v>
      </c>
      <c r="S5" s="1058" t="s">
        <v>1371</v>
      </c>
      <c r="T5" s="1058" t="s">
        <v>1372</v>
      </c>
      <c r="U5" s="1058" t="s">
        <v>1373</v>
      </c>
      <c r="Y5" t="s">
        <v>1375</v>
      </c>
      <c r="Z5" s="741" t="s">
        <v>1376</v>
      </c>
      <c r="AA5" t="s">
        <v>1375</v>
      </c>
      <c r="AB5" t="s">
        <v>1376</v>
      </c>
      <c r="AC5" s="1074" t="s">
        <v>1376</v>
      </c>
      <c r="AD5" s="1074" t="s">
        <v>1377</v>
      </c>
      <c r="AE5" s="1075" t="s">
        <v>633</v>
      </c>
      <c r="AF5" s="1076"/>
      <c r="AG5" s="1077" t="s">
        <v>1378</v>
      </c>
      <c r="AH5" s="17" t="s">
        <v>1379</v>
      </c>
      <c r="AI5" s="143" t="s">
        <v>1380</v>
      </c>
      <c r="AJ5" s="699" t="s">
        <v>1381</v>
      </c>
      <c r="AK5" s="1068"/>
      <c r="AM5" s="1060"/>
      <c r="AN5" s="1060"/>
      <c r="AO5" s="1060"/>
      <c r="AP5" s="1060"/>
      <c r="AQ5" s="1060"/>
      <c r="AR5" s="1060"/>
      <c r="AT5" s="1062"/>
      <c r="AU5" s="1062"/>
      <c r="AV5" s="1062"/>
      <c r="AW5" s="1062"/>
      <c r="AX5" s="1062"/>
      <c r="AY5" s="1062"/>
      <c r="BA5" s="1060"/>
      <c r="BB5" s="1060"/>
      <c r="BC5" s="1060"/>
      <c r="BD5" s="1060"/>
      <c r="BE5" s="1060"/>
      <c r="BF5" s="1060"/>
      <c r="BH5" s="1062"/>
      <c r="BI5" s="1062"/>
      <c r="BJ5" s="1062"/>
      <c r="BK5" s="1062"/>
      <c r="BL5" s="1062"/>
      <c r="BM5" s="1062"/>
    </row>
    <row r="6" spans="1:68" x14ac:dyDescent="0.2">
      <c r="A6" s="1078"/>
      <c r="B6" s="44"/>
      <c r="C6" s="3">
        <v>2</v>
      </c>
      <c r="D6" s="3">
        <v>3</v>
      </c>
      <c r="E6" s="3">
        <v>4</v>
      </c>
      <c r="F6" s="3">
        <v>5</v>
      </c>
      <c r="G6" s="3">
        <v>6</v>
      </c>
      <c r="K6" s="1079"/>
      <c r="L6" s="1080"/>
      <c r="M6" s="1080"/>
      <c r="N6" s="1081"/>
      <c r="Z6" s="755" t="s">
        <v>1382</v>
      </c>
      <c r="AB6" s="741" t="s">
        <v>1382</v>
      </c>
      <c r="AC6" s="1074"/>
      <c r="AD6" s="1082"/>
      <c r="AE6" s="1075" t="s">
        <v>790</v>
      </c>
      <c r="AF6" s="1076"/>
      <c r="AG6" s="1083"/>
      <c r="AJ6" s="3"/>
      <c r="AK6" s="1068"/>
      <c r="AM6" s="1060"/>
      <c r="AN6" s="1060"/>
      <c r="AO6" s="1060"/>
      <c r="AP6" s="1060"/>
      <c r="AQ6" s="1060"/>
      <c r="AR6" s="1060"/>
      <c r="AT6" s="1062"/>
      <c r="AU6" s="1062"/>
      <c r="AV6" s="1062"/>
      <c r="AW6" s="1062"/>
      <c r="AX6" s="1062"/>
      <c r="AY6" s="1062"/>
      <c r="BA6" s="1060"/>
      <c r="BB6" s="1060"/>
      <c r="BC6" s="1060"/>
      <c r="BD6" s="1060"/>
      <c r="BE6" s="1060"/>
      <c r="BF6" s="1060"/>
      <c r="BH6" s="1062"/>
      <c r="BI6" s="1062"/>
      <c r="BJ6" s="1062"/>
      <c r="BK6" s="1062"/>
      <c r="BL6" s="1062"/>
      <c r="BM6" s="1062"/>
    </row>
    <row r="7" spans="1:68" x14ac:dyDescent="0.2">
      <c r="A7" s="1084" t="s">
        <v>312</v>
      </c>
      <c r="B7" s="1152">
        <v>2442</v>
      </c>
      <c r="C7" s="1085">
        <v>1227.599838056969</v>
      </c>
      <c r="D7" s="1085">
        <v>3819.9650645657475</v>
      </c>
      <c r="E7" s="1085">
        <v>7199.2163731032997</v>
      </c>
      <c r="F7" s="1085">
        <v>11587.884230015945</v>
      </c>
      <c r="G7" s="1085"/>
      <c r="I7">
        <v>14</v>
      </c>
      <c r="K7" s="1072">
        <v>0</v>
      </c>
      <c r="L7" s="1058">
        <v>6</v>
      </c>
      <c r="M7" s="1058">
        <v>8</v>
      </c>
      <c r="N7" s="1073">
        <v>0</v>
      </c>
      <c r="P7" s="1086">
        <v>184491.52137222089</v>
      </c>
      <c r="Q7" s="1086">
        <v>140000</v>
      </c>
      <c r="R7" s="1086">
        <v>-1345.400161943031</v>
      </c>
      <c r="S7" s="1086">
        <v>1246.9650645657475</v>
      </c>
      <c r="T7" s="1086">
        <v>4626.2163731032997</v>
      </c>
      <c r="U7" s="1086">
        <v>9014.8842300159449</v>
      </c>
      <c r="V7" s="140">
        <v>2573</v>
      </c>
      <c r="W7" s="1087"/>
      <c r="X7" s="1087"/>
      <c r="Y7" s="1088"/>
      <c r="Z7" s="1087">
        <v>0</v>
      </c>
      <c r="AA7" s="1088"/>
      <c r="AB7" s="1087">
        <v>0</v>
      </c>
      <c r="AC7" s="1089">
        <v>0</v>
      </c>
      <c r="AD7" s="1090">
        <v>0</v>
      </c>
      <c r="AE7" s="1091">
        <v>0</v>
      </c>
      <c r="AF7" s="1092"/>
      <c r="AG7" s="1093" t="e">
        <v>#DIV/0!</v>
      </c>
      <c r="AH7" s="1087">
        <v>220513.52137222089</v>
      </c>
      <c r="AI7" s="1094">
        <v>14.000000000000002</v>
      </c>
      <c r="AJ7" s="1092">
        <v>15750.965812301491</v>
      </c>
      <c r="AK7" s="1095"/>
      <c r="AL7" s="1096"/>
      <c r="AM7" s="1097">
        <v>0</v>
      </c>
      <c r="AN7" s="1097">
        <v>0</v>
      </c>
      <c r="AO7" s="1097">
        <v>0</v>
      </c>
      <c r="AP7" s="1097">
        <v>0</v>
      </c>
      <c r="AQ7" s="1097">
        <v>0</v>
      </c>
      <c r="AR7" s="1060">
        <v>0</v>
      </c>
      <c r="AT7" s="1098">
        <v>0</v>
      </c>
      <c r="AU7" s="1098">
        <v>0</v>
      </c>
      <c r="AV7" s="1098">
        <v>0</v>
      </c>
      <c r="AW7" s="1098">
        <v>0</v>
      </c>
      <c r="AX7" s="1098">
        <v>0</v>
      </c>
      <c r="AY7" s="1062">
        <v>0</v>
      </c>
      <c r="BA7" s="1099">
        <v>0</v>
      </c>
      <c r="BB7" s="1100">
        <v>0</v>
      </c>
      <c r="BC7" s="1100">
        <v>0</v>
      </c>
      <c r="BD7" s="1099">
        <v>0</v>
      </c>
      <c r="BE7" s="1099">
        <v>0</v>
      </c>
      <c r="BF7" s="1099">
        <v>0</v>
      </c>
      <c r="BH7" s="1101">
        <v>0</v>
      </c>
      <c r="BI7" s="1101">
        <v>0</v>
      </c>
      <c r="BJ7" s="1101">
        <v>0</v>
      </c>
      <c r="BK7" s="1101">
        <v>0</v>
      </c>
      <c r="BL7" s="1101">
        <v>0</v>
      </c>
      <c r="BM7" s="1101">
        <v>0</v>
      </c>
      <c r="BO7" s="1102">
        <v>0</v>
      </c>
    </row>
    <row r="8" spans="1:68" x14ac:dyDescent="0.2">
      <c r="A8" s="1084" t="s">
        <v>6</v>
      </c>
      <c r="B8" s="1152">
        <v>2629</v>
      </c>
      <c r="C8" s="1085">
        <v>1227.599838056969</v>
      </c>
      <c r="D8" s="1085">
        <v>3819.9650645657475</v>
      </c>
      <c r="E8" s="1085">
        <v>7199.2163731032997</v>
      </c>
      <c r="F8" s="1085">
        <v>11587.884230015945</v>
      </c>
      <c r="G8" s="1085"/>
      <c r="I8">
        <v>10</v>
      </c>
      <c r="K8" s="1072">
        <v>0</v>
      </c>
      <c r="L8" s="1058">
        <v>5</v>
      </c>
      <c r="M8" s="1058">
        <v>1</v>
      </c>
      <c r="N8" s="1073">
        <v>4</v>
      </c>
      <c r="P8" s="1086">
        <v>146920.57861599582</v>
      </c>
      <c r="Q8" s="1086">
        <v>100000</v>
      </c>
      <c r="R8" s="1086">
        <v>-1345.400161943031</v>
      </c>
      <c r="S8" s="1086">
        <v>1246.9650645657475</v>
      </c>
      <c r="T8" s="1086">
        <v>4626.2163731032997</v>
      </c>
      <c r="U8" s="1086">
        <v>9014.8842300159449</v>
      </c>
      <c r="V8" s="140">
        <v>2573</v>
      </c>
      <c r="W8" s="1087"/>
      <c r="X8" s="1087"/>
      <c r="Y8" s="1088"/>
      <c r="Z8" s="1087">
        <v>0</v>
      </c>
      <c r="AA8" s="1088"/>
      <c r="AB8" s="1087">
        <v>0</v>
      </c>
      <c r="AC8" s="1089">
        <v>0</v>
      </c>
      <c r="AD8" s="1090">
        <v>0</v>
      </c>
      <c r="AE8" s="1091">
        <v>0</v>
      </c>
      <c r="AF8" s="1092"/>
      <c r="AG8" s="1093" t="e">
        <v>#DIV/0!</v>
      </c>
      <c r="AH8" s="1087">
        <v>172650.57861599582</v>
      </c>
      <c r="AI8" s="1094">
        <v>10</v>
      </c>
      <c r="AJ8" s="1092">
        <v>17265.057861599584</v>
      </c>
      <c r="AK8" s="1095"/>
      <c r="AM8" s="1097">
        <v>0</v>
      </c>
      <c r="AN8" s="1097">
        <v>0</v>
      </c>
      <c r="AO8" s="1097">
        <v>0</v>
      </c>
      <c r="AP8" s="1097">
        <v>0</v>
      </c>
      <c r="AQ8" s="1097">
        <v>0</v>
      </c>
      <c r="AR8" s="1060">
        <v>0</v>
      </c>
      <c r="AT8" s="1098">
        <v>0</v>
      </c>
      <c r="AU8" s="1098">
        <v>0</v>
      </c>
      <c r="AV8" s="1098">
        <v>0</v>
      </c>
      <c r="AW8" s="1098">
        <v>0</v>
      </c>
      <c r="AX8" s="1098">
        <v>0</v>
      </c>
      <c r="AY8" s="1062">
        <v>0</v>
      </c>
      <c r="BA8" s="1099">
        <v>0</v>
      </c>
      <c r="BB8" s="1100">
        <v>0</v>
      </c>
      <c r="BC8" s="1100">
        <v>0</v>
      </c>
      <c r="BD8" s="1099">
        <v>0</v>
      </c>
      <c r="BE8" s="1099">
        <v>0</v>
      </c>
      <c r="BF8" s="1099">
        <v>0</v>
      </c>
      <c r="BH8" s="1101">
        <v>0</v>
      </c>
      <c r="BI8" s="1101">
        <v>0</v>
      </c>
      <c r="BJ8" s="1101">
        <v>0</v>
      </c>
      <c r="BK8" s="1101">
        <v>0</v>
      </c>
      <c r="BL8" s="1101">
        <v>0</v>
      </c>
      <c r="BM8" s="1101">
        <v>0</v>
      </c>
      <c r="BO8" s="1102">
        <v>0</v>
      </c>
    </row>
    <row r="9" spans="1:68" x14ac:dyDescent="0.2">
      <c r="A9" s="1103" t="s">
        <v>1383</v>
      </c>
      <c r="B9" s="1152">
        <v>4177</v>
      </c>
      <c r="C9" s="1085">
        <v>2294.599838056969</v>
      </c>
      <c r="D9" s="1085">
        <v>4886.9650645657475</v>
      </c>
      <c r="E9" s="1085">
        <v>8266.2163731032997</v>
      </c>
      <c r="F9" s="1085">
        <v>12654.884230015945</v>
      </c>
      <c r="G9" s="1085"/>
      <c r="I9">
        <v>38</v>
      </c>
      <c r="K9" s="1072">
        <v>15</v>
      </c>
      <c r="L9" s="1058">
        <v>15</v>
      </c>
      <c r="M9" s="1058">
        <v>8</v>
      </c>
      <c r="N9" s="1073">
        <v>0</v>
      </c>
      <c r="P9" s="1086">
        <v>415533.20452416717</v>
      </c>
      <c r="Q9" s="1086">
        <v>380000</v>
      </c>
      <c r="R9" s="1086">
        <v>-1345.400161943031</v>
      </c>
      <c r="S9" s="1086">
        <v>1246.9650645657475</v>
      </c>
      <c r="T9" s="1086">
        <v>4626.2163731032997</v>
      </c>
      <c r="U9" s="1086">
        <v>9014.8842300159449</v>
      </c>
      <c r="V9" s="140"/>
      <c r="W9" s="1087">
        <v>3640</v>
      </c>
      <c r="X9" s="1087"/>
      <c r="Y9" s="1088"/>
      <c r="Z9" s="1087">
        <v>0</v>
      </c>
      <c r="AA9" s="1088"/>
      <c r="AB9" s="1087">
        <v>0</v>
      </c>
      <c r="AC9" s="1089">
        <v>0</v>
      </c>
      <c r="AD9" s="1090">
        <v>7181.5649026227165</v>
      </c>
      <c r="AE9" s="1091">
        <v>7181.5649026227165</v>
      </c>
      <c r="AF9" s="1092"/>
      <c r="AG9" s="1093" t="e">
        <v>#DIV/0!</v>
      </c>
      <c r="AH9" s="1087">
        <v>566259.00874463865</v>
      </c>
      <c r="AI9" s="1094">
        <v>38.833333333333329</v>
      </c>
      <c r="AJ9" s="1092">
        <v>14581.777049218164</v>
      </c>
      <c r="AK9" s="1095"/>
      <c r="AM9" s="1097">
        <v>1</v>
      </c>
      <c r="AN9" s="1097">
        <v>1</v>
      </c>
      <c r="AO9" s="1097">
        <v>0</v>
      </c>
      <c r="AP9" s="1097">
        <v>0</v>
      </c>
      <c r="AQ9" s="1097">
        <v>0</v>
      </c>
      <c r="AR9" s="1060">
        <v>2</v>
      </c>
      <c r="AT9" s="1098">
        <v>1</v>
      </c>
      <c r="AU9" s="1098">
        <v>1</v>
      </c>
      <c r="AV9" s="1098">
        <v>0</v>
      </c>
      <c r="AW9" s="1098">
        <v>0</v>
      </c>
      <c r="AX9" s="1098">
        <v>0</v>
      </c>
      <c r="AY9" s="1062">
        <v>2</v>
      </c>
      <c r="BA9" s="1099">
        <v>956.0832658570705</v>
      </c>
      <c r="BB9" s="1100">
        <v>2036.2354435690613</v>
      </c>
      <c r="BC9" s="1100">
        <v>0</v>
      </c>
      <c r="BD9" s="1099">
        <v>0</v>
      </c>
      <c r="BE9" s="1099">
        <v>0</v>
      </c>
      <c r="BF9" s="1099">
        <v>2992.318709426132</v>
      </c>
      <c r="BH9" s="1101">
        <v>1338.5165721998987</v>
      </c>
      <c r="BI9" s="1101">
        <v>2850.7296209966858</v>
      </c>
      <c r="BJ9" s="1101">
        <v>0</v>
      </c>
      <c r="BK9" s="1101">
        <v>0</v>
      </c>
      <c r="BL9" s="1101">
        <v>0</v>
      </c>
      <c r="BM9" s="1101">
        <v>4189.2461931965845</v>
      </c>
      <c r="BO9" s="1102">
        <v>7181.5649026227165</v>
      </c>
      <c r="BP9" t="s">
        <v>1397</v>
      </c>
    </row>
    <row r="10" spans="1:68" x14ac:dyDescent="0.2">
      <c r="A10" s="1103" t="s">
        <v>1384</v>
      </c>
      <c r="B10" s="1152">
        <v>4177</v>
      </c>
      <c r="C10" s="1085">
        <v>2757.599838056969</v>
      </c>
      <c r="D10" s="1085">
        <v>5349.9650645657475</v>
      </c>
      <c r="E10" s="1085">
        <v>8729.2163731032997</v>
      </c>
      <c r="F10" s="1085">
        <v>13117.884230015945</v>
      </c>
      <c r="G10" s="1085"/>
      <c r="K10" s="1072"/>
      <c r="L10" s="1058"/>
      <c r="M10" s="1058"/>
      <c r="N10" s="1073"/>
      <c r="P10" s="1086"/>
      <c r="Q10" s="1086"/>
      <c r="R10" s="1086">
        <v>-1345.400161943031</v>
      </c>
      <c r="S10" s="1086">
        <v>1246.9650645657475</v>
      </c>
      <c r="T10" s="1086">
        <v>4626.2163731032997</v>
      </c>
      <c r="U10" s="1086">
        <v>9014.8842300159449</v>
      </c>
      <c r="V10" s="140"/>
      <c r="W10" s="1087"/>
      <c r="X10" s="1087">
        <v>4103</v>
      </c>
      <c r="Y10" s="1088"/>
      <c r="Z10" s="1087">
        <v>0</v>
      </c>
      <c r="AA10" s="1088"/>
      <c r="AB10" s="1087">
        <v>0</v>
      </c>
      <c r="AC10" s="1089">
        <v>0</v>
      </c>
      <c r="AD10" s="1090">
        <v>0</v>
      </c>
      <c r="AE10" s="1091">
        <v>0</v>
      </c>
      <c r="AF10" s="1092"/>
      <c r="AG10" s="1093"/>
      <c r="AH10" s="1087">
        <v>0</v>
      </c>
      <c r="AI10" s="1094">
        <v>0</v>
      </c>
      <c r="AJ10" s="1092"/>
      <c r="AK10" s="1095"/>
      <c r="AM10" s="1097">
        <v>0</v>
      </c>
      <c r="AN10" s="1097">
        <v>0</v>
      </c>
      <c r="AO10" s="1097">
        <v>0</v>
      </c>
      <c r="AP10" s="1097">
        <v>0</v>
      </c>
      <c r="AQ10" s="1097">
        <v>0</v>
      </c>
      <c r="AR10" s="1060">
        <v>0</v>
      </c>
      <c r="AT10" s="1098">
        <v>0</v>
      </c>
      <c r="AU10" s="1098">
        <v>0</v>
      </c>
      <c r="AV10" s="1098">
        <v>0</v>
      </c>
      <c r="AW10" s="1098">
        <v>0</v>
      </c>
      <c r="AX10" s="1098">
        <v>0</v>
      </c>
      <c r="AY10" s="1062">
        <v>0</v>
      </c>
      <c r="BA10" s="1099">
        <v>0</v>
      </c>
      <c r="BB10" s="1100">
        <v>0</v>
      </c>
      <c r="BC10" s="1100">
        <v>0</v>
      </c>
      <c r="BD10" s="1099">
        <v>0</v>
      </c>
      <c r="BE10" s="1099">
        <v>0</v>
      </c>
      <c r="BF10" s="1099">
        <v>0</v>
      </c>
      <c r="BH10" s="1101">
        <v>0</v>
      </c>
      <c r="BI10" s="1101">
        <v>0</v>
      </c>
      <c r="BJ10" s="1101">
        <v>0</v>
      </c>
      <c r="BK10" s="1101">
        <v>0</v>
      </c>
      <c r="BL10" s="1101">
        <v>0</v>
      </c>
      <c r="BM10" s="1101">
        <v>0</v>
      </c>
      <c r="BO10" s="1102">
        <v>0</v>
      </c>
    </row>
    <row r="11" spans="1:68" x14ac:dyDescent="0.2">
      <c r="A11" s="1084" t="s">
        <v>14</v>
      </c>
      <c r="B11" s="1152">
        <v>2433</v>
      </c>
      <c r="C11" s="1085">
        <v>1227.599838056969</v>
      </c>
      <c r="D11" s="1085">
        <v>3819.9650645657475</v>
      </c>
      <c r="E11" s="1085">
        <v>7199.2163731032997</v>
      </c>
      <c r="F11" s="1085">
        <v>11587.884230015945</v>
      </c>
      <c r="G11" s="1085"/>
      <c r="I11">
        <v>34</v>
      </c>
      <c r="K11" s="1072">
        <v>0</v>
      </c>
      <c r="L11" s="1058">
        <v>8</v>
      </c>
      <c r="M11" s="1058">
        <v>21</v>
      </c>
      <c r="N11" s="1073">
        <v>5</v>
      </c>
      <c r="P11" s="1086">
        <v>492200.68550177501</v>
      </c>
      <c r="Q11" s="1086">
        <v>340000</v>
      </c>
      <c r="R11" s="1086">
        <v>-1345.400161943031</v>
      </c>
      <c r="S11" s="1086">
        <v>1246.9650645657475</v>
      </c>
      <c r="T11" s="1086">
        <v>4626.2163731032997</v>
      </c>
      <c r="U11" s="1086">
        <v>9014.8842300159449</v>
      </c>
      <c r="V11" s="140">
        <v>2573</v>
      </c>
      <c r="W11" s="1087"/>
      <c r="X11" s="1087"/>
      <c r="Y11" s="1088"/>
      <c r="Z11" s="1087">
        <v>0</v>
      </c>
      <c r="AA11" s="1088"/>
      <c r="AB11" s="1087">
        <v>0</v>
      </c>
      <c r="AC11" s="1089">
        <v>0</v>
      </c>
      <c r="AD11" s="1090">
        <v>0</v>
      </c>
      <c r="AE11" s="1091">
        <v>0</v>
      </c>
      <c r="AF11" s="1092"/>
      <c r="AG11" s="1093" t="e">
        <v>#DIV/0!</v>
      </c>
      <c r="AH11" s="1087">
        <v>579682.68550177501</v>
      </c>
      <c r="AI11" s="1094">
        <v>34</v>
      </c>
      <c r="AJ11" s="1092">
        <v>17049.490750052206</v>
      </c>
      <c r="AK11" s="1095"/>
      <c r="AM11" s="1097">
        <v>0</v>
      </c>
      <c r="AN11" s="1097">
        <v>0</v>
      </c>
      <c r="AO11" s="1097">
        <v>0</v>
      </c>
      <c r="AP11" s="1097">
        <v>0</v>
      </c>
      <c r="AQ11" s="1097">
        <v>0</v>
      </c>
      <c r="AR11" s="1060">
        <v>0</v>
      </c>
      <c r="AT11" s="1098">
        <v>0</v>
      </c>
      <c r="AU11" s="1098">
        <v>0</v>
      </c>
      <c r="AV11" s="1098">
        <v>0</v>
      </c>
      <c r="AW11" s="1098">
        <v>0</v>
      </c>
      <c r="AX11" s="1098">
        <v>0</v>
      </c>
      <c r="AY11" s="1062">
        <v>0</v>
      </c>
      <c r="BA11" s="1099">
        <v>0</v>
      </c>
      <c r="BB11" s="1100">
        <v>0</v>
      </c>
      <c r="BC11" s="1100">
        <v>0</v>
      </c>
      <c r="BD11" s="1099">
        <v>0</v>
      </c>
      <c r="BE11" s="1099">
        <v>0</v>
      </c>
      <c r="BF11" s="1099">
        <v>0</v>
      </c>
      <c r="BH11" s="1101">
        <v>0</v>
      </c>
      <c r="BI11" s="1101">
        <v>0</v>
      </c>
      <c r="BJ11" s="1101">
        <v>0</v>
      </c>
      <c r="BK11" s="1101">
        <v>0</v>
      </c>
      <c r="BL11" s="1101">
        <v>0</v>
      </c>
      <c r="BM11" s="1101">
        <v>0</v>
      </c>
      <c r="BO11" s="1102">
        <v>0</v>
      </c>
    </row>
    <row r="12" spans="1:68" x14ac:dyDescent="0.2">
      <c r="A12" s="1084" t="s">
        <v>15</v>
      </c>
      <c r="B12" s="1152">
        <v>2432</v>
      </c>
      <c r="C12" s="1085">
        <v>1227.599838056969</v>
      </c>
      <c r="D12" s="1085">
        <v>3819.9650645657475</v>
      </c>
      <c r="E12" s="1085">
        <v>7199.2163731032997</v>
      </c>
      <c r="F12" s="1085">
        <v>11587.884230015945</v>
      </c>
      <c r="G12" s="1085"/>
      <c r="I12">
        <v>46</v>
      </c>
      <c r="K12" s="1072">
        <v>0</v>
      </c>
      <c r="L12" s="1058">
        <v>25</v>
      </c>
      <c r="M12" s="1058">
        <v>13</v>
      </c>
      <c r="N12" s="1073">
        <v>8</v>
      </c>
      <c r="P12" s="1086">
        <v>623434.01330461411</v>
      </c>
      <c r="Q12" s="1086">
        <v>460000</v>
      </c>
      <c r="R12" s="1086">
        <v>-1345.400161943031</v>
      </c>
      <c r="S12" s="1086">
        <v>1246.9650645657475</v>
      </c>
      <c r="T12" s="1086">
        <v>4626.2163731032997</v>
      </c>
      <c r="U12" s="1086">
        <v>9014.8842300159449</v>
      </c>
      <c r="V12" s="140">
        <v>2573</v>
      </c>
      <c r="W12" s="1087"/>
      <c r="X12" s="1087"/>
      <c r="Y12" s="1088"/>
      <c r="Z12" s="1087">
        <v>0</v>
      </c>
      <c r="AA12" s="1088"/>
      <c r="AB12" s="1087">
        <v>0</v>
      </c>
      <c r="AC12" s="1089">
        <v>0</v>
      </c>
      <c r="AD12" s="1090">
        <v>0</v>
      </c>
      <c r="AE12" s="1091">
        <v>0</v>
      </c>
      <c r="AF12" s="1092"/>
      <c r="AG12" s="1093" t="e">
        <v>#DIV/0!</v>
      </c>
      <c r="AH12" s="1087">
        <v>741792.01330461423</v>
      </c>
      <c r="AI12" s="1094">
        <v>46</v>
      </c>
      <c r="AJ12" s="1092">
        <v>16125.913332709006</v>
      </c>
      <c r="AK12" s="1095"/>
      <c r="AM12" s="1097">
        <v>0</v>
      </c>
      <c r="AN12" s="1097">
        <v>0</v>
      </c>
      <c r="AO12" s="1097">
        <v>0</v>
      </c>
      <c r="AP12" s="1097">
        <v>0</v>
      </c>
      <c r="AQ12" s="1097">
        <v>0</v>
      </c>
      <c r="AR12" s="1060">
        <v>0</v>
      </c>
      <c r="AT12" s="1098">
        <v>0</v>
      </c>
      <c r="AU12" s="1098">
        <v>0</v>
      </c>
      <c r="AV12" s="1098">
        <v>0</v>
      </c>
      <c r="AW12" s="1098">
        <v>0</v>
      </c>
      <c r="AX12" s="1098">
        <v>0</v>
      </c>
      <c r="AY12" s="1062">
        <v>0</v>
      </c>
      <c r="BA12" s="1099">
        <v>0</v>
      </c>
      <c r="BB12" s="1100">
        <v>0</v>
      </c>
      <c r="BC12" s="1100">
        <v>0</v>
      </c>
      <c r="BD12" s="1099">
        <v>0</v>
      </c>
      <c r="BE12" s="1099">
        <v>0</v>
      </c>
      <c r="BF12" s="1099">
        <v>0</v>
      </c>
      <c r="BH12" s="1101">
        <v>0</v>
      </c>
      <c r="BI12" s="1101">
        <v>0</v>
      </c>
      <c r="BJ12" s="1101">
        <v>0</v>
      </c>
      <c r="BK12" s="1101">
        <v>0</v>
      </c>
      <c r="BL12" s="1101">
        <v>0</v>
      </c>
      <c r="BM12" s="1101">
        <v>0</v>
      </c>
      <c r="BO12" s="1102">
        <v>0</v>
      </c>
    </row>
    <row r="13" spans="1:68" x14ac:dyDescent="0.2">
      <c r="A13" s="1103" t="s">
        <v>1385</v>
      </c>
      <c r="B13" s="1152">
        <v>4181</v>
      </c>
      <c r="C13" s="1085">
        <v>2294.599838056969</v>
      </c>
      <c r="D13" s="1085">
        <v>4886.9650645657475</v>
      </c>
      <c r="E13" s="1085">
        <v>8266.2163731032997</v>
      </c>
      <c r="F13" s="1085">
        <v>12654.884230015945</v>
      </c>
      <c r="G13" s="1085"/>
      <c r="I13">
        <v>12</v>
      </c>
      <c r="K13" s="1072">
        <v>12</v>
      </c>
      <c r="L13" s="1058">
        <v>0</v>
      </c>
      <c r="M13" s="1058">
        <v>0</v>
      </c>
      <c r="N13" s="1073">
        <v>0</v>
      </c>
      <c r="P13" s="1086">
        <v>103855.19805668363</v>
      </c>
      <c r="Q13" s="1086">
        <v>120000</v>
      </c>
      <c r="R13" s="1086">
        <v>-1345.400161943031</v>
      </c>
      <c r="S13" s="1086">
        <v>1246.9650645657475</v>
      </c>
      <c r="T13" s="1086">
        <v>4626.2163731032997</v>
      </c>
      <c r="U13" s="1086">
        <v>9014.8842300159449</v>
      </c>
      <c r="V13" s="140"/>
      <c r="W13" s="1087">
        <v>3640</v>
      </c>
      <c r="X13" s="1087"/>
      <c r="Y13" s="1088"/>
      <c r="Z13" s="1087">
        <v>0</v>
      </c>
      <c r="AA13" s="1088"/>
      <c r="AB13" s="1087">
        <v>0</v>
      </c>
      <c r="AC13" s="1089">
        <v>0</v>
      </c>
      <c r="AD13" s="1090">
        <v>0</v>
      </c>
      <c r="AE13" s="1091">
        <v>0</v>
      </c>
      <c r="AF13" s="1092"/>
      <c r="AG13" s="1093" t="e">
        <v>#DIV/0!</v>
      </c>
      <c r="AH13" s="1087">
        <v>188517.19751687354</v>
      </c>
      <c r="AI13" s="1094">
        <v>15.333333333333334</v>
      </c>
      <c r="AJ13" s="1092">
        <v>12294.599838056969</v>
      </c>
      <c r="AK13" s="1095"/>
      <c r="AM13" s="1097">
        <v>0</v>
      </c>
      <c r="AN13" s="1097">
        <v>0</v>
      </c>
      <c r="AO13" s="1097">
        <v>0</v>
      </c>
      <c r="AP13" s="1097">
        <v>0</v>
      </c>
      <c r="AQ13" s="1097">
        <v>0</v>
      </c>
      <c r="AR13" s="1060">
        <v>0</v>
      </c>
      <c r="AT13" s="1098">
        <v>0</v>
      </c>
      <c r="AU13" s="1098">
        <v>0</v>
      </c>
      <c r="AV13" s="1098">
        <v>0</v>
      </c>
      <c r="AW13" s="1098">
        <v>0</v>
      </c>
      <c r="AX13" s="1098">
        <v>0</v>
      </c>
      <c r="AY13" s="1062">
        <v>0</v>
      </c>
      <c r="BA13" s="1099">
        <v>0</v>
      </c>
      <c r="BB13" s="1100">
        <v>0</v>
      </c>
      <c r="BC13" s="1100">
        <v>0</v>
      </c>
      <c r="BD13" s="1099">
        <v>0</v>
      </c>
      <c r="BE13" s="1099">
        <v>0</v>
      </c>
      <c r="BF13" s="1099">
        <v>0</v>
      </c>
      <c r="BH13" s="1101">
        <v>0</v>
      </c>
      <c r="BI13" s="1101">
        <v>0</v>
      </c>
      <c r="BJ13" s="1101">
        <v>0</v>
      </c>
      <c r="BK13" s="1101">
        <v>0</v>
      </c>
      <c r="BL13" s="1101">
        <v>0</v>
      </c>
      <c r="BM13" s="1101">
        <v>0</v>
      </c>
      <c r="BO13" s="1102">
        <v>0</v>
      </c>
    </row>
    <row r="14" spans="1:68" x14ac:dyDescent="0.2">
      <c r="A14" s="1103" t="s">
        <v>1386</v>
      </c>
      <c r="B14" s="1152">
        <v>4181</v>
      </c>
      <c r="C14" s="1085">
        <v>2757.599838056969</v>
      </c>
      <c r="D14" s="1085">
        <v>5349.9650645657475</v>
      </c>
      <c r="E14" s="1085">
        <v>8729.2163731032997</v>
      </c>
      <c r="F14" s="1085">
        <v>13117.884230015945</v>
      </c>
      <c r="G14" s="1085"/>
      <c r="K14" s="1072"/>
      <c r="L14" s="1058"/>
      <c r="M14" s="1058"/>
      <c r="N14" s="1073"/>
      <c r="P14" s="1086"/>
      <c r="Q14" s="1086"/>
      <c r="R14" s="1086">
        <v>-1345.400161943031</v>
      </c>
      <c r="S14" s="1086">
        <v>1246.9650645657475</v>
      </c>
      <c r="T14" s="1086">
        <v>4626.2163731032997</v>
      </c>
      <c r="U14" s="1086">
        <v>9014.8842300159449</v>
      </c>
      <c r="V14" s="140"/>
      <c r="W14" s="1087"/>
      <c r="X14" s="1087">
        <v>4103</v>
      </c>
      <c r="Y14" s="1088"/>
      <c r="Z14" s="1087">
        <v>0</v>
      </c>
      <c r="AA14" s="1088"/>
      <c r="AB14" s="1087">
        <v>0</v>
      </c>
      <c r="AC14" s="1089">
        <v>0</v>
      </c>
      <c r="AD14" s="1090">
        <v>0</v>
      </c>
      <c r="AE14" s="1091">
        <v>0</v>
      </c>
      <c r="AF14" s="1092"/>
      <c r="AG14" s="1093"/>
      <c r="AH14" s="1087">
        <v>0</v>
      </c>
      <c r="AI14" s="1094">
        <v>0</v>
      </c>
      <c r="AJ14" s="1092"/>
      <c r="AK14" s="1095"/>
      <c r="AM14" s="1097">
        <v>0</v>
      </c>
      <c r="AN14" s="1097">
        <v>0</v>
      </c>
      <c r="AO14" s="1097">
        <v>0</v>
      </c>
      <c r="AP14" s="1097">
        <v>0</v>
      </c>
      <c r="AQ14" s="1097">
        <v>0</v>
      </c>
      <c r="AR14" s="1060">
        <v>0</v>
      </c>
      <c r="AT14" s="1098">
        <v>0</v>
      </c>
      <c r="AU14" s="1098">
        <v>0</v>
      </c>
      <c r="AV14" s="1098">
        <v>0</v>
      </c>
      <c r="AW14" s="1098">
        <v>0</v>
      </c>
      <c r="AX14" s="1098">
        <v>0</v>
      </c>
      <c r="AY14" s="1062">
        <v>0</v>
      </c>
      <c r="BA14" s="1099">
        <v>0</v>
      </c>
      <c r="BB14" s="1100">
        <v>0</v>
      </c>
      <c r="BC14" s="1100">
        <v>0</v>
      </c>
      <c r="BD14" s="1099">
        <v>0</v>
      </c>
      <c r="BE14" s="1099">
        <v>0</v>
      </c>
      <c r="BF14" s="1099">
        <v>0</v>
      </c>
      <c r="BH14" s="1101">
        <v>0</v>
      </c>
      <c r="BI14" s="1101">
        <v>0</v>
      </c>
      <c r="BJ14" s="1101">
        <v>0</v>
      </c>
      <c r="BK14" s="1101">
        <v>0</v>
      </c>
      <c r="BL14" s="1101">
        <v>0</v>
      </c>
      <c r="BM14" s="1101">
        <v>0</v>
      </c>
      <c r="BO14" s="1102">
        <v>0</v>
      </c>
    </row>
    <row r="15" spans="1:68" x14ac:dyDescent="0.2">
      <c r="A15" s="1084" t="s">
        <v>38</v>
      </c>
      <c r="B15" s="1152">
        <v>2436</v>
      </c>
      <c r="C15" s="1085">
        <v>1227.599838056969</v>
      </c>
      <c r="D15" s="1085">
        <v>3819.9650645657475</v>
      </c>
      <c r="E15" s="1085">
        <v>7199.2163731032997</v>
      </c>
      <c r="F15" s="1085">
        <v>11587.884230015945</v>
      </c>
      <c r="G15" s="1085"/>
      <c r="I15">
        <v>10</v>
      </c>
      <c r="K15" s="1072">
        <v>0</v>
      </c>
      <c r="L15" s="1058">
        <v>0</v>
      </c>
      <c r="M15" s="1058">
        <v>0</v>
      </c>
      <c r="N15" s="1073">
        <v>10</v>
      </c>
      <c r="P15" s="1086">
        <v>190148.84230015945</v>
      </c>
      <c r="Q15" s="1086">
        <v>100000</v>
      </c>
      <c r="R15" s="1086">
        <v>-1345.400161943031</v>
      </c>
      <c r="S15" s="1086">
        <v>1246.9650645657475</v>
      </c>
      <c r="T15" s="1086">
        <v>4626.2163731032997</v>
      </c>
      <c r="U15" s="1086">
        <v>9014.8842300159449</v>
      </c>
      <c r="V15" s="140">
        <v>2573</v>
      </c>
      <c r="W15" s="1087"/>
      <c r="X15" s="1087"/>
      <c r="Y15" s="1088"/>
      <c r="Z15" s="1087">
        <v>0</v>
      </c>
      <c r="AA15" s="1088"/>
      <c r="AB15" s="1087">
        <v>0</v>
      </c>
      <c r="AC15" s="1089">
        <v>0</v>
      </c>
      <c r="AD15" s="1090">
        <v>34763.652690047835</v>
      </c>
      <c r="AE15" s="1091">
        <v>34763.652690047835</v>
      </c>
      <c r="AF15" s="1092"/>
      <c r="AG15" s="1093" t="e">
        <v>#DIV/0!</v>
      </c>
      <c r="AH15" s="1087">
        <v>233868.74582517275</v>
      </c>
      <c r="AI15" s="1094">
        <v>10.833333333333334</v>
      </c>
      <c r="AJ15" s="1092">
        <v>21587.884230015945</v>
      </c>
      <c r="AK15" s="1095"/>
      <c r="AM15" s="1097">
        <v>0</v>
      </c>
      <c r="AN15" s="1097">
        <v>0</v>
      </c>
      <c r="AO15" s="1097">
        <v>0</v>
      </c>
      <c r="AP15" s="1097">
        <v>3</v>
      </c>
      <c r="AQ15" s="1097">
        <v>0</v>
      </c>
      <c r="AR15" s="1060">
        <v>3</v>
      </c>
      <c r="AT15" s="1098">
        <v>0</v>
      </c>
      <c r="AU15" s="1098">
        <v>0</v>
      </c>
      <c r="AV15" s="1098">
        <v>0</v>
      </c>
      <c r="AW15" s="1098">
        <v>3</v>
      </c>
      <c r="AX15" s="1098">
        <v>0</v>
      </c>
      <c r="AY15" s="1062">
        <v>3</v>
      </c>
      <c r="BA15" s="1099">
        <v>0</v>
      </c>
      <c r="BB15" s="1100">
        <v>0</v>
      </c>
      <c r="BC15" s="1100">
        <v>0</v>
      </c>
      <c r="BD15" s="1099">
        <v>14484.855287519931</v>
      </c>
      <c r="BE15" s="1099">
        <v>0</v>
      </c>
      <c r="BF15" s="1099">
        <v>14484.855287519931</v>
      </c>
      <c r="BH15" s="1101">
        <v>0</v>
      </c>
      <c r="BI15" s="1101">
        <v>0</v>
      </c>
      <c r="BJ15" s="1101">
        <v>0</v>
      </c>
      <c r="BK15" s="1101">
        <v>20278.797402527904</v>
      </c>
      <c r="BL15" s="1101">
        <v>0</v>
      </c>
      <c r="BM15" s="1101">
        <v>20278.797402527904</v>
      </c>
      <c r="BO15" s="1102">
        <v>34763.652690047835</v>
      </c>
      <c r="BP15" t="s">
        <v>1397</v>
      </c>
    </row>
    <row r="16" spans="1:68" x14ac:dyDescent="0.2">
      <c r="A16" s="1084" t="s">
        <v>53</v>
      </c>
      <c r="B16" s="1152">
        <v>2000</v>
      </c>
      <c r="C16" s="1085">
        <v>1227.599838056969</v>
      </c>
      <c r="D16" s="1085">
        <v>3819.9650645657475</v>
      </c>
      <c r="E16" s="1085">
        <v>7199.2163731032997</v>
      </c>
      <c r="F16" s="1085">
        <v>11587.884230015945</v>
      </c>
      <c r="G16" s="1085">
        <v>30603</v>
      </c>
      <c r="I16">
        <v>28</v>
      </c>
      <c r="K16" s="1072">
        <v>0</v>
      </c>
      <c r="L16" s="1058">
        <v>10</v>
      </c>
      <c r="M16" s="1058">
        <v>10</v>
      </c>
      <c r="N16" s="1073">
        <v>8</v>
      </c>
      <c r="P16" s="1086">
        <v>410850.88821681798</v>
      </c>
      <c r="Q16" s="1086">
        <v>280000</v>
      </c>
      <c r="R16" s="1086">
        <v>-1345.400161943031</v>
      </c>
      <c r="S16" s="1086">
        <v>1246.9650645657475</v>
      </c>
      <c r="T16" s="1086">
        <v>4626.2163731032997</v>
      </c>
      <c r="U16" s="1086">
        <v>9014.8842300159449</v>
      </c>
      <c r="V16" s="140">
        <v>2573</v>
      </c>
      <c r="W16" s="1087"/>
      <c r="X16" s="1087"/>
      <c r="Y16" s="1088"/>
      <c r="Z16" s="1087">
        <v>0</v>
      </c>
      <c r="AA16" s="1088"/>
      <c r="AB16" s="1087">
        <v>0</v>
      </c>
      <c r="AC16" s="1089">
        <v>0</v>
      </c>
      <c r="AD16" s="1090">
        <v>0</v>
      </c>
      <c r="AE16" s="1091">
        <v>0</v>
      </c>
      <c r="AF16" s="1092"/>
      <c r="AG16" s="1093" t="e">
        <v>#DIV/0!</v>
      </c>
      <c r="AH16" s="1087">
        <v>501910.00398680207</v>
      </c>
      <c r="AI16" s="1094">
        <v>28.000000000000004</v>
      </c>
      <c r="AJ16" s="1092">
        <v>17925.357285242928</v>
      </c>
      <c r="AK16" s="1095"/>
      <c r="AM16" s="1097">
        <v>0</v>
      </c>
      <c r="AN16" s="1097">
        <v>0</v>
      </c>
      <c r="AO16" s="1097">
        <v>0</v>
      </c>
      <c r="AP16" s="1097">
        <v>0</v>
      </c>
      <c r="AQ16" s="1097">
        <v>0</v>
      </c>
      <c r="AR16" s="1060">
        <v>0</v>
      </c>
      <c r="AT16" s="1098">
        <v>0</v>
      </c>
      <c r="AU16" s="1098">
        <v>0</v>
      </c>
      <c r="AV16" s="1098">
        <v>0</v>
      </c>
      <c r="AW16" s="1098">
        <v>0</v>
      </c>
      <c r="AX16" s="1098">
        <v>0</v>
      </c>
      <c r="AY16" s="1062">
        <v>0</v>
      </c>
      <c r="BA16" s="1099">
        <v>0</v>
      </c>
      <c r="BB16" s="1100">
        <v>0</v>
      </c>
      <c r="BC16" s="1100">
        <v>0</v>
      </c>
      <c r="BD16" s="1099">
        <v>0</v>
      </c>
      <c r="BE16" s="1099">
        <v>0</v>
      </c>
      <c r="BF16" s="1099">
        <v>0</v>
      </c>
      <c r="BH16" s="1101">
        <v>0</v>
      </c>
      <c r="BI16" s="1101">
        <v>0</v>
      </c>
      <c r="BJ16" s="1101">
        <v>0</v>
      </c>
      <c r="BK16" s="1101">
        <v>0</v>
      </c>
      <c r="BL16" s="1101">
        <v>0</v>
      </c>
      <c r="BM16" s="1101">
        <v>0</v>
      </c>
      <c r="BO16" s="1102">
        <v>0</v>
      </c>
    </row>
    <row r="17" spans="1:70" x14ac:dyDescent="0.2">
      <c r="A17" s="1103" t="s">
        <v>1387</v>
      </c>
      <c r="B17" s="1152">
        <v>4607</v>
      </c>
      <c r="C17" s="1085">
        <v>2294.599838056969</v>
      </c>
      <c r="D17" s="1085">
        <v>4886.9650645657475</v>
      </c>
      <c r="E17" s="1085">
        <v>8266.2163731032997</v>
      </c>
      <c r="F17" s="1085">
        <v>14154.884230015945</v>
      </c>
      <c r="G17" s="1085"/>
      <c r="I17">
        <v>37</v>
      </c>
      <c r="K17" s="1072">
        <v>0</v>
      </c>
      <c r="L17" s="1058">
        <v>3</v>
      </c>
      <c r="M17" s="1058">
        <v>29</v>
      </c>
      <c r="N17" s="1073">
        <v>5</v>
      </c>
      <c r="P17" s="1086">
        <v>560475.59116377262</v>
      </c>
      <c r="Q17" s="1086">
        <v>370000</v>
      </c>
      <c r="R17" s="1086">
        <v>-1345.400161943031</v>
      </c>
      <c r="S17" s="1086">
        <v>1246.9650645657475</v>
      </c>
      <c r="T17" s="1086">
        <v>4626.2163731032997</v>
      </c>
      <c r="U17" s="1086">
        <v>10514.884230015945</v>
      </c>
      <c r="V17" s="140"/>
      <c r="W17" s="1087">
        <v>3640</v>
      </c>
      <c r="X17" s="1087"/>
      <c r="Y17" s="1088"/>
      <c r="Z17" s="1087">
        <v>0</v>
      </c>
      <c r="AA17" s="1088"/>
      <c r="AB17" s="1087">
        <v>0</v>
      </c>
      <c r="AC17" s="1089">
        <v>0</v>
      </c>
      <c r="AD17" s="1090">
        <v>0</v>
      </c>
      <c r="AE17" s="1091">
        <v>0</v>
      </c>
      <c r="AF17" s="1092"/>
      <c r="AG17" s="1093"/>
      <c r="AH17" s="1087">
        <v>0</v>
      </c>
      <c r="AI17" s="1094">
        <v>0</v>
      </c>
      <c r="AJ17" s="1092"/>
      <c r="AK17" s="1095"/>
      <c r="AM17" s="1097">
        <v>0</v>
      </c>
      <c r="AN17" s="1097">
        <v>0</v>
      </c>
      <c r="AO17" s="1097">
        <v>0</v>
      </c>
      <c r="AP17" s="1097">
        <v>0</v>
      </c>
      <c r="AQ17" s="1097">
        <v>0</v>
      </c>
      <c r="AR17" s="1060">
        <v>0</v>
      </c>
      <c r="AT17" s="1098">
        <v>0</v>
      </c>
      <c r="AU17" s="1098">
        <v>0</v>
      </c>
      <c r="AV17" s="1098">
        <v>0</v>
      </c>
      <c r="AW17" s="1098">
        <v>0</v>
      </c>
      <c r="AX17" s="1098">
        <v>0</v>
      </c>
      <c r="AY17" s="1062">
        <v>0</v>
      </c>
      <c r="BA17" s="1099">
        <v>0</v>
      </c>
      <c r="BB17" s="1100">
        <v>0</v>
      </c>
      <c r="BC17" s="1100">
        <v>0</v>
      </c>
      <c r="BD17" s="1099">
        <v>0</v>
      </c>
      <c r="BE17" s="1099">
        <v>0</v>
      </c>
      <c r="BF17" s="1099">
        <v>0</v>
      </c>
      <c r="BH17" s="1101">
        <v>0</v>
      </c>
      <c r="BI17" s="1101">
        <v>0</v>
      </c>
      <c r="BJ17" s="1101">
        <v>0</v>
      </c>
      <c r="BK17" s="1101">
        <v>0</v>
      </c>
      <c r="BL17" s="1101">
        <v>0</v>
      </c>
      <c r="BM17" s="1101">
        <v>0</v>
      </c>
      <c r="BO17" s="1102">
        <v>0</v>
      </c>
    </row>
    <row r="18" spans="1:70" x14ac:dyDescent="0.2">
      <c r="A18" s="1103" t="s">
        <v>1388</v>
      </c>
      <c r="B18" s="1152">
        <v>4607</v>
      </c>
      <c r="C18" s="1085">
        <v>2757.599838056969</v>
      </c>
      <c r="D18" s="1085">
        <v>5349.9650645657475</v>
      </c>
      <c r="E18" s="1085">
        <v>8729.2163731032997</v>
      </c>
      <c r="F18" s="1085">
        <v>13117.884230015945</v>
      </c>
      <c r="G18" s="1085"/>
      <c r="K18" s="1072"/>
      <c r="L18" s="1058"/>
      <c r="M18" s="1058"/>
      <c r="N18" s="1073"/>
      <c r="P18" s="1086"/>
      <c r="Q18" s="1086"/>
      <c r="R18" s="1086">
        <v>-1345.400161943031</v>
      </c>
      <c r="S18" s="1086">
        <v>1246.9650645657475</v>
      </c>
      <c r="T18" s="1086">
        <v>4626.2163731032997</v>
      </c>
      <c r="U18" s="1086">
        <v>9014.8842300159449</v>
      </c>
      <c r="V18" s="140"/>
      <c r="W18" s="1087"/>
      <c r="X18" s="1087">
        <v>4103</v>
      </c>
      <c r="Y18" s="1088"/>
      <c r="Z18" s="1087">
        <v>0</v>
      </c>
      <c r="AA18" s="1088"/>
      <c r="AB18" s="1087">
        <v>0</v>
      </c>
      <c r="AC18" s="1089">
        <v>0</v>
      </c>
      <c r="AD18" s="1090">
        <v>27197.065667684994</v>
      </c>
      <c r="AE18" s="1091">
        <v>27197.065667684994</v>
      </c>
      <c r="AF18" s="1092"/>
      <c r="AG18" s="1093" t="e">
        <v>#DIV/0!</v>
      </c>
      <c r="AH18" s="1087">
        <v>704786.59116377262</v>
      </c>
      <c r="AI18" s="1094">
        <v>37</v>
      </c>
      <c r="AJ18" s="1092">
        <v>19048.28624766953</v>
      </c>
      <c r="AK18" s="1095"/>
      <c r="AM18" s="1097">
        <v>0</v>
      </c>
      <c r="AN18" s="1097">
        <v>1</v>
      </c>
      <c r="AO18" s="1097">
        <v>1</v>
      </c>
      <c r="AP18" s="1097">
        <v>1</v>
      </c>
      <c r="AQ18" s="1097">
        <v>0</v>
      </c>
      <c r="AR18" s="1060">
        <v>3</v>
      </c>
      <c r="AT18" s="1098">
        <v>0</v>
      </c>
      <c r="AU18" s="1098">
        <v>1</v>
      </c>
      <c r="AV18" s="1098">
        <v>1</v>
      </c>
      <c r="AW18" s="1098">
        <v>1</v>
      </c>
      <c r="AX18" s="1098">
        <v>0</v>
      </c>
      <c r="AY18" s="1062">
        <v>3</v>
      </c>
      <c r="BA18" s="1099">
        <v>0</v>
      </c>
      <c r="BB18" s="1100">
        <v>2229.1521102357283</v>
      </c>
      <c r="BC18" s="1100">
        <v>3637.1734887930415</v>
      </c>
      <c r="BD18" s="1099">
        <v>5465.7850958399777</v>
      </c>
      <c r="BE18" s="1099">
        <v>0</v>
      </c>
      <c r="BF18" s="1099">
        <v>11332.110694868748</v>
      </c>
      <c r="BH18" s="1101">
        <v>0</v>
      </c>
      <c r="BI18" s="1101">
        <v>3120.8129543300197</v>
      </c>
      <c r="BJ18" s="1101">
        <v>5092.0428843102582</v>
      </c>
      <c r="BK18" s="1101">
        <v>7652.0991341759682</v>
      </c>
      <c r="BL18" s="1101">
        <v>0</v>
      </c>
      <c r="BM18" s="1101">
        <v>15864.954972816246</v>
      </c>
      <c r="BO18" s="1102">
        <v>27197.065667684994</v>
      </c>
      <c r="BP18" t="s">
        <v>1397</v>
      </c>
    </row>
    <row r="19" spans="1:70" x14ac:dyDescent="0.2">
      <c r="A19" s="1103" t="s">
        <v>1389</v>
      </c>
      <c r="B19" s="1152">
        <v>5414</v>
      </c>
      <c r="C19" s="1085">
        <v>2294.599838056969</v>
      </c>
      <c r="D19" s="1085">
        <v>4886.9650645657475</v>
      </c>
      <c r="E19" s="1085">
        <v>8266.2163731032997</v>
      </c>
      <c r="F19" s="1085">
        <v>12654.884230015945</v>
      </c>
      <c r="G19" s="1085"/>
      <c r="K19" s="1072"/>
      <c r="L19" s="1058"/>
      <c r="M19" s="1058"/>
      <c r="N19" s="1073"/>
      <c r="P19" s="1086"/>
      <c r="Q19" s="1086"/>
      <c r="R19" s="1086">
        <v>-1345.400161943031</v>
      </c>
      <c r="S19" s="1086">
        <v>1246.9650645657475</v>
      </c>
      <c r="T19" s="1086">
        <v>4626.2163731032997</v>
      </c>
      <c r="U19" s="1086">
        <v>9014.8842300159449</v>
      </c>
      <c r="V19" s="140"/>
      <c r="W19" s="1087">
        <v>3640</v>
      </c>
      <c r="X19" s="1087"/>
      <c r="Y19" s="1088"/>
      <c r="Z19" s="1087">
        <v>0</v>
      </c>
      <c r="AA19" s="1088"/>
      <c r="AB19" s="1087">
        <v>0</v>
      </c>
      <c r="AC19" s="1089">
        <v>0</v>
      </c>
      <c r="AD19" s="1090">
        <v>0</v>
      </c>
      <c r="AE19" s="1091">
        <v>0</v>
      </c>
      <c r="AF19" s="1092"/>
      <c r="AG19" s="1093"/>
      <c r="AH19" s="1087">
        <v>0</v>
      </c>
      <c r="AI19" s="1094">
        <v>0</v>
      </c>
      <c r="AJ19" s="1092"/>
      <c r="AK19" s="1095"/>
      <c r="AM19" s="1097">
        <v>0</v>
      </c>
      <c r="AN19" s="1097">
        <v>0</v>
      </c>
      <c r="AO19" s="1097">
        <v>0</v>
      </c>
      <c r="AP19" s="1097">
        <v>0</v>
      </c>
      <c r="AQ19" s="1097">
        <v>0</v>
      </c>
      <c r="AR19" s="1060">
        <v>0</v>
      </c>
      <c r="AT19" s="1098">
        <v>0</v>
      </c>
      <c r="AU19" s="1098">
        <v>0</v>
      </c>
      <c r="AV19" s="1098">
        <v>0</v>
      </c>
      <c r="AW19" s="1098">
        <v>0</v>
      </c>
      <c r="AX19" s="1098">
        <v>0</v>
      </c>
      <c r="AY19" s="1062">
        <v>0</v>
      </c>
      <c r="BA19" s="1099">
        <v>0</v>
      </c>
      <c r="BB19" s="1100">
        <v>0</v>
      </c>
      <c r="BC19" s="1100">
        <v>0</v>
      </c>
      <c r="BD19" s="1099">
        <v>0</v>
      </c>
      <c r="BE19" s="1099">
        <v>0</v>
      </c>
      <c r="BF19" s="1099">
        <v>0</v>
      </c>
      <c r="BH19" s="1101">
        <v>0</v>
      </c>
      <c r="BI19" s="1101">
        <v>0</v>
      </c>
      <c r="BJ19" s="1101">
        <v>0</v>
      </c>
      <c r="BK19" s="1101">
        <v>0</v>
      </c>
      <c r="BL19" s="1101">
        <v>0</v>
      </c>
      <c r="BM19" s="1101">
        <v>0</v>
      </c>
      <c r="BO19" s="1102">
        <v>0</v>
      </c>
    </row>
    <row r="20" spans="1:70" x14ac:dyDescent="0.2">
      <c r="A20" s="1103" t="s">
        <v>1390</v>
      </c>
      <c r="B20" s="1152">
        <v>5414</v>
      </c>
      <c r="C20" s="1085">
        <v>2757.599838056969</v>
      </c>
      <c r="D20" s="1085">
        <v>5349.9650645657475</v>
      </c>
      <c r="E20" s="1085">
        <v>8729.2163731032997</v>
      </c>
      <c r="F20" s="1085">
        <v>13117.884230015945</v>
      </c>
      <c r="G20" s="1085"/>
      <c r="I20">
        <v>20</v>
      </c>
      <c r="K20" s="1072">
        <v>0</v>
      </c>
      <c r="L20" s="1058">
        <v>20</v>
      </c>
      <c r="M20" s="1058">
        <v>0</v>
      </c>
      <c r="N20" s="1073">
        <v>0</v>
      </c>
      <c r="P20" s="1086">
        <v>224939.30129131494</v>
      </c>
      <c r="Q20" s="1086">
        <v>200000</v>
      </c>
      <c r="R20" s="1086">
        <v>-1345.400161943031</v>
      </c>
      <c r="S20" s="1086">
        <v>1246.9650645657475</v>
      </c>
      <c r="T20" s="1086">
        <v>4626.2163731032997</v>
      </c>
      <c r="U20" s="1086">
        <v>9014.8842300159449</v>
      </c>
      <c r="V20" s="140"/>
      <c r="W20" s="1087"/>
      <c r="X20" s="1087">
        <v>4103</v>
      </c>
      <c r="Y20" s="1088"/>
      <c r="Z20" s="1087">
        <v>0</v>
      </c>
      <c r="AA20" s="1088"/>
      <c r="AB20" s="1087">
        <v>0</v>
      </c>
      <c r="AC20" s="1089">
        <v>0</v>
      </c>
      <c r="AD20" s="1090">
        <v>7579.1171748014767</v>
      </c>
      <c r="AE20" s="1091">
        <v>7579.1171748014767</v>
      </c>
      <c r="AF20" s="1092"/>
      <c r="AG20" s="1093" t="e">
        <v>#DIV/0!</v>
      </c>
      <c r="AH20" s="1087">
        <v>306999.301291315</v>
      </c>
      <c r="AI20" s="1094">
        <v>20</v>
      </c>
      <c r="AJ20" s="1092">
        <v>15349.965064565749</v>
      </c>
      <c r="AK20" s="1095"/>
      <c r="AM20" s="1097">
        <v>0</v>
      </c>
      <c r="AN20" s="1097">
        <v>2</v>
      </c>
      <c r="AO20" s="1097">
        <v>0</v>
      </c>
      <c r="AP20" s="1097">
        <v>0</v>
      </c>
      <c r="AQ20" s="1097">
        <v>0</v>
      </c>
      <c r="AR20" s="1060">
        <v>2</v>
      </c>
      <c r="AT20" s="1098">
        <v>0</v>
      </c>
      <c r="AU20" s="1098">
        <v>1</v>
      </c>
      <c r="AV20" s="1098">
        <v>0</v>
      </c>
      <c r="AW20" s="1098">
        <v>0</v>
      </c>
      <c r="AX20" s="1098">
        <v>0</v>
      </c>
      <c r="AY20" s="1062">
        <v>1</v>
      </c>
      <c r="BA20" s="1099">
        <v>0</v>
      </c>
      <c r="BB20" s="1100">
        <v>4458.3042204714566</v>
      </c>
      <c r="BC20" s="1100">
        <v>0</v>
      </c>
      <c r="BD20" s="1099">
        <v>0</v>
      </c>
      <c r="BE20" s="1099">
        <v>0</v>
      </c>
      <c r="BF20" s="1099">
        <v>4458.3042204714566</v>
      </c>
      <c r="BH20" s="1101">
        <v>0</v>
      </c>
      <c r="BI20" s="1101">
        <v>3120.8129543300197</v>
      </c>
      <c r="BJ20" s="1101">
        <v>0</v>
      </c>
      <c r="BK20" s="1101">
        <v>0</v>
      </c>
      <c r="BL20" s="1101">
        <v>0</v>
      </c>
      <c r="BM20" s="1101">
        <v>3120.8129543300197</v>
      </c>
      <c r="BO20" s="1102">
        <v>7579.1171748014767</v>
      </c>
      <c r="BP20" t="s">
        <v>1397</v>
      </c>
    </row>
    <row r="21" spans="1:70" x14ac:dyDescent="0.2">
      <c r="A21" s="1071"/>
      <c r="B21" s="44"/>
      <c r="K21" s="1104"/>
      <c r="L21" s="1105"/>
      <c r="M21" s="1105"/>
      <c r="N21" s="1106"/>
      <c r="P21" s="1087"/>
      <c r="Q21" s="1086"/>
      <c r="R21" s="1086"/>
      <c r="S21" s="1086"/>
      <c r="T21" s="1086"/>
      <c r="U21" s="1086"/>
      <c r="V21" s="140"/>
      <c r="W21" s="1087"/>
      <c r="X21" s="1087"/>
      <c r="Y21" s="1087"/>
      <c r="Z21" s="1087"/>
      <c r="AA21" s="1087"/>
      <c r="AB21" s="1087"/>
      <c r="AC21" s="1090"/>
      <c r="AD21" s="1090"/>
      <c r="AE21" s="1091">
        <v>0</v>
      </c>
      <c r="AF21" s="1092"/>
      <c r="AG21" s="1093"/>
      <c r="AH21" s="1087"/>
      <c r="AI21" s="1094"/>
      <c r="AJ21" s="1092"/>
      <c r="AK21" s="1095"/>
      <c r="AM21" s="1060"/>
      <c r="AN21" s="1060"/>
      <c r="AO21" s="1060"/>
      <c r="AP21" s="1060"/>
      <c r="AQ21" s="1060"/>
      <c r="AR21" s="1060"/>
      <c r="AT21" s="1062"/>
      <c r="AU21" s="1062"/>
      <c r="AV21" s="1062"/>
      <c r="AW21" s="1062"/>
      <c r="AX21" s="1062"/>
      <c r="AY21" s="1062">
        <v>0</v>
      </c>
      <c r="BA21" s="1060"/>
      <c r="BB21" s="1060"/>
      <c r="BC21" s="1060"/>
      <c r="BD21" s="1060"/>
      <c r="BE21" s="1060"/>
      <c r="BF21" s="1060"/>
      <c r="BH21" s="1062"/>
      <c r="BI21" s="1062"/>
      <c r="BJ21" s="1062"/>
      <c r="BK21" s="1062"/>
      <c r="BL21" s="1062"/>
      <c r="BM21" s="1062"/>
    </row>
    <row r="22" spans="1:70" ht="13.5" thickBot="1" x14ac:dyDescent="0.25">
      <c r="K22" s="1107"/>
      <c r="L22" s="1107"/>
      <c r="M22" s="1107"/>
      <c r="N22" s="1107"/>
      <c r="P22" s="1087"/>
      <c r="Q22" s="1086"/>
      <c r="R22" s="1086"/>
      <c r="S22" s="1086"/>
      <c r="T22" s="1086"/>
      <c r="U22" s="1086"/>
      <c r="V22" s="140"/>
      <c r="W22" s="1087"/>
      <c r="X22" s="1087"/>
      <c r="Y22" s="1108">
        <v>0</v>
      </c>
      <c r="Z22" s="1109">
        <v>0</v>
      </c>
      <c r="AA22" s="1110">
        <v>0</v>
      </c>
      <c r="AB22" s="1109">
        <v>0</v>
      </c>
      <c r="AC22" s="1111">
        <v>0</v>
      </c>
      <c r="AD22" s="1112">
        <v>76721.400435157018</v>
      </c>
      <c r="AE22" s="1113">
        <v>76721.400435157018</v>
      </c>
      <c r="AF22" s="1114"/>
      <c r="AG22" s="1115"/>
      <c r="AH22" s="1109">
        <v>4216979.6473231809</v>
      </c>
      <c r="AI22" s="1116">
        <v>254</v>
      </c>
      <c r="AJ22" s="1114"/>
      <c r="AK22" s="1095"/>
      <c r="AM22" s="1060">
        <v>1</v>
      </c>
      <c r="AN22" s="1060">
        <v>4</v>
      </c>
      <c r="AO22" s="1060">
        <v>1</v>
      </c>
      <c r="AP22" s="1060">
        <v>4</v>
      </c>
      <c r="AQ22" s="1060">
        <v>0</v>
      </c>
      <c r="AR22" s="1060">
        <v>10</v>
      </c>
      <c r="AT22" s="1062">
        <v>1</v>
      </c>
      <c r="AU22" s="1062">
        <v>3</v>
      </c>
      <c r="AV22" s="1062">
        <v>1</v>
      </c>
      <c r="AW22" s="1062">
        <v>4</v>
      </c>
      <c r="AX22" s="1062">
        <v>0</v>
      </c>
      <c r="AY22" s="1062">
        <v>9</v>
      </c>
      <c r="BA22" s="1117">
        <v>956.0832658570705</v>
      </c>
      <c r="BB22" s="1117">
        <v>8723.6917742762453</v>
      </c>
      <c r="BC22" s="1117">
        <v>3637.1734887930415</v>
      </c>
      <c r="BD22" s="1117">
        <v>19950.640383359911</v>
      </c>
      <c r="BE22" s="1117">
        <v>0</v>
      </c>
      <c r="BF22" s="1117">
        <v>33267.588912286265</v>
      </c>
      <c r="BH22" s="1118">
        <v>1338.5165721998987</v>
      </c>
      <c r="BI22" s="1118">
        <v>9092.3555296567247</v>
      </c>
      <c r="BJ22" s="1118">
        <v>5092.0428843102582</v>
      </c>
      <c r="BK22" s="1118">
        <v>27930.896536703873</v>
      </c>
      <c r="BL22" s="1118">
        <v>0</v>
      </c>
      <c r="BM22" s="1118">
        <v>43453.811522870747</v>
      </c>
      <c r="BO22" s="1102">
        <v>76721.400435157018</v>
      </c>
    </row>
    <row r="23" spans="1:70" x14ac:dyDescent="0.2">
      <c r="K23" s="1107"/>
      <c r="L23" s="1107"/>
      <c r="M23" s="1107"/>
      <c r="N23" s="1107"/>
      <c r="P23" s="1087"/>
      <c r="Q23" s="1086"/>
      <c r="R23" s="1086"/>
      <c r="S23" s="1086"/>
      <c r="T23" s="1086"/>
      <c r="U23" s="1086"/>
      <c r="V23" s="140"/>
      <c r="W23" s="1087"/>
      <c r="X23" s="1087"/>
      <c r="Y23" s="1087"/>
      <c r="Z23" s="1087"/>
      <c r="AA23" s="1087"/>
      <c r="AB23" s="1087"/>
      <c r="AC23" s="1087"/>
      <c r="AD23" s="1087"/>
      <c r="AE23" s="1087"/>
      <c r="AF23" s="1087"/>
      <c r="AG23" s="1094"/>
      <c r="AH23" s="1087"/>
      <c r="AI23" s="1094"/>
      <c r="AJ23" s="1087"/>
      <c r="AK23" s="1087"/>
    </row>
    <row r="24" spans="1:70" x14ac:dyDescent="0.2">
      <c r="K24" s="1119"/>
      <c r="L24" s="1119"/>
      <c r="M24" s="1119"/>
      <c r="N24" s="1119"/>
      <c r="P24" s="1087"/>
      <c r="Q24" s="1086"/>
      <c r="R24" s="1086"/>
      <c r="S24" s="1086"/>
      <c r="T24" s="1086"/>
      <c r="U24" s="1086"/>
      <c r="V24" s="140"/>
      <c r="W24" s="1087"/>
      <c r="X24" s="1087"/>
      <c r="Y24" s="1087"/>
      <c r="Z24" s="1087"/>
      <c r="AA24" s="1087"/>
      <c r="AB24" s="1087"/>
      <c r="AC24" s="1087"/>
      <c r="AD24" s="1087"/>
      <c r="AE24" s="1087"/>
      <c r="AF24" s="1087"/>
      <c r="AG24" s="1094"/>
      <c r="AH24" s="1087"/>
      <c r="AI24" s="1094"/>
      <c r="AJ24" s="1087"/>
      <c r="AK24" s="1087"/>
    </row>
    <row r="25" spans="1:70" x14ac:dyDescent="0.2">
      <c r="K25" s="2"/>
      <c r="L25" s="2"/>
      <c r="M25" s="2"/>
      <c r="N25" s="2"/>
      <c r="P25" s="1087"/>
      <c r="Q25" s="1086"/>
      <c r="R25" s="1086"/>
      <c r="S25" s="1086"/>
      <c r="T25" s="1086"/>
      <c r="U25" s="1086"/>
      <c r="V25" s="140"/>
      <c r="W25" s="1087"/>
      <c r="X25" s="1087"/>
      <c r="Y25" s="1087"/>
      <c r="Z25" s="1087"/>
      <c r="AA25" s="1087"/>
      <c r="AB25" s="1087"/>
      <c r="AC25" s="1087"/>
      <c r="AD25" s="1087"/>
      <c r="AE25" s="1087"/>
      <c r="AF25" s="1087"/>
      <c r="AG25" s="1094"/>
      <c r="AH25" s="1087"/>
      <c r="AI25" s="1094"/>
      <c r="AJ25" s="1087"/>
      <c r="AK25" s="1087"/>
    </row>
    <row r="26" spans="1:70" x14ac:dyDescent="0.2">
      <c r="P26" s="1087"/>
      <c r="Q26" s="1086"/>
      <c r="R26" s="1086"/>
      <c r="S26" s="1086"/>
      <c r="T26" s="1086"/>
      <c r="U26" s="1086"/>
      <c r="V26" s="140"/>
      <c r="W26" s="1087"/>
      <c r="X26" s="1087"/>
      <c r="Y26" s="1087"/>
      <c r="Z26" s="1087"/>
      <c r="AA26" s="1087"/>
      <c r="AB26" s="1087"/>
      <c r="AC26" s="1087"/>
      <c r="AD26" s="1087"/>
      <c r="AE26" s="1087"/>
      <c r="AF26" s="1087"/>
      <c r="AG26" s="1094"/>
      <c r="AH26" s="1087"/>
      <c r="AI26" s="1094"/>
      <c r="AJ26" s="1087"/>
      <c r="AK26" s="1087"/>
    </row>
    <row r="27" spans="1:70" x14ac:dyDescent="0.2">
      <c r="A27" s="151" t="s">
        <v>1391</v>
      </c>
      <c r="B27" s="28"/>
      <c r="C27" s="28"/>
      <c r="D27" s="28"/>
      <c r="E27" s="28"/>
      <c r="F27" s="28"/>
      <c r="G27" s="28"/>
      <c r="K27" s="1066" t="s">
        <v>1366</v>
      </c>
      <c r="L27" s="1067"/>
      <c r="M27" s="1067"/>
      <c r="N27" s="8"/>
      <c r="P27" s="1087"/>
      <c r="Q27" s="1086"/>
      <c r="R27" s="1086"/>
      <c r="S27" s="1086"/>
      <c r="T27" s="1086"/>
      <c r="U27" s="1086"/>
      <c r="V27" s="140"/>
      <c r="W27" s="1087"/>
      <c r="X27" s="1087"/>
      <c r="Y27" s="1087"/>
      <c r="Z27" s="1087"/>
      <c r="AA27" s="1087"/>
      <c r="AB27" s="1087"/>
      <c r="AC27" s="1087"/>
      <c r="AD27" s="1087"/>
      <c r="AE27" s="1087"/>
      <c r="AF27" s="1087"/>
      <c r="AG27" s="1094"/>
      <c r="AH27" s="1087"/>
      <c r="AI27" s="1094"/>
      <c r="AJ27" s="1087"/>
      <c r="AK27" s="1087"/>
    </row>
    <row r="28" spans="1:70" x14ac:dyDescent="0.2">
      <c r="A28" s="1071"/>
      <c r="B28" s="44"/>
      <c r="C28" s="44"/>
      <c r="D28" s="44"/>
      <c r="E28" s="44"/>
      <c r="F28" s="44"/>
      <c r="G28" s="44"/>
      <c r="K28" s="1120" t="s">
        <v>1370</v>
      </c>
      <c r="L28" s="1121" t="s">
        <v>1371</v>
      </c>
      <c r="M28" s="1121" t="s">
        <v>1372</v>
      </c>
      <c r="N28" s="1122" t="s">
        <v>1373</v>
      </c>
      <c r="P28" s="1087"/>
      <c r="Q28" s="1086"/>
      <c r="R28" s="1086"/>
      <c r="S28" s="1086"/>
      <c r="T28" s="1086"/>
      <c r="U28" s="1086"/>
      <c r="V28" s="140"/>
      <c r="W28" s="1087"/>
      <c r="X28" s="1087"/>
      <c r="Y28" s="1087"/>
      <c r="Z28" s="1087"/>
      <c r="AA28" s="1087"/>
      <c r="AB28" s="1087"/>
      <c r="AC28" s="1087"/>
      <c r="AD28" s="1087"/>
      <c r="AE28" s="1087"/>
      <c r="AF28" s="1087"/>
      <c r="AG28" s="1094"/>
      <c r="AH28" s="1087"/>
      <c r="AI28" s="1094"/>
      <c r="AJ28" s="1087"/>
      <c r="AK28" s="1087"/>
    </row>
    <row r="29" spans="1:70" x14ac:dyDescent="0.2">
      <c r="A29" s="1078"/>
      <c r="B29" s="44"/>
      <c r="C29" s="44"/>
      <c r="D29" s="44"/>
      <c r="E29" s="44"/>
      <c r="F29" s="44"/>
      <c r="G29" s="44"/>
      <c r="K29" s="1123"/>
      <c r="L29" s="1123"/>
      <c r="M29" s="1123"/>
      <c r="N29" s="1078"/>
      <c r="P29" s="1087"/>
      <c r="Q29" s="1086"/>
      <c r="R29" s="1086"/>
      <c r="S29" s="1086"/>
      <c r="T29" s="1086"/>
      <c r="U29" s="1086"/>
      <c r="V29" s="140"/>
      <c r="W29" s="1087"/>
      <c r="X29" s="1087"/>
      <c r="Y29" s="1087"/>
      <c r="Z29" s="1087"/>
      <c r="AA29" s="1087"/>
      <c r="AB29" s="1087"/>
      <c r="AC29" s="1087"/>
      <c r="AD29" s="1087"/>
      <c r="AE29" s="1087"/>
      <c r="AF29" s="1087"/>
      <c r="AG29" s="1094"/>
      <c r="AH29" s="1087"/>
      <c r="AI29" s="1094"/>
      <c r="AJ29" s="1087"/>
      <c r="AK29" s="1087"/>
    </row>
    <row r="30" spans="1:70" x14ac:dyDescent="0.2">
      <c r="A30" s="1084" t="s">
        <v>1392</v>
      </c>
      <c r="B30" s="44"/>
      <c r="C30" s="28">
        <v>1227.599838056969</v>
      </c>
      <c r="D30" s="28">
        <v>3819.9650645657475</v>
      </c>
      <c r="E30" s="28">
        <v>7199.2163731032997</v>
      </c>
      <c r="F30" s="28">
        <v>11587.884230015945</v>
      </c>
      <c r="G30" s="44"/>
      <c r="I30">
        <v>6</v>
      </c>
      <c r="K30" s="1072">
        <v>0</v>
      </c>
      <c r="L30" s="1072">
        <v>0</v>
      </c>
      <c r="M30" s="1072">
        <v>3</v>
      </c>
      <c r="N30" s="1124">
        <v>3</v>
      </c>
      <c r="P30" s="1086">
        <v>100923.30180935774</v>
      </c>
      <c r="Q30" s="1086">
        <v>60000</v>
      </c>
      <c r="R30" s="1086">
        <v>-1345.400161943031</v>
      </c>
      <c r="S30" s="1086">
        <v>1246.9650645657475</v>
      </c>
      <c r="T30" s="1086">
        <v>4626.2163731032997</v>
      </c>
      <c r="U30" s="1086">
        <v>9014.8842300159449</v>
      </c>
      <c r="V30" s="140">
        <v>2573</v>
      </c>
      <c r="W30" s="1087"/>
      <c r="X30" s="1087"/>
      <c r="Y30" s="1094"/>
      <c r="Z30" s="1087">
        <v>0</v>
      </c>
      <c r="AA30" s="1094"/>
      <c r="AB30" s="1087">
        <v>0</v>
      </c>
      <c r="AC30" s="1089">
        <v>0</v>
      </c>
      <c r="AD30" s="1090">
        <v>0</v>
      </c>
      <c r="AE30" s="1091">
        <v>0</v>
      </c>
      <c r="AF30" s="1125"/>
      <c r="AG30" s="1093" t="e">
        <v>#DIV/0!</v>
      </c>
      <c r="AH30" s="1087">
        <v>116361.30180935774</v>
      </c>
      <c r="AI30" s="1093">
        <v>6</v>
      </c>
      <c r="AJ30" s="1087">
        <v>19393.550301559622</v>
      </c>
      <c r="AK30" s="1087"/>
      <c r="AM30" s="1097">
        <v>0</v>
      </c>
      <c r="AN30" s="1097">
        <v>0</v>
      </c>
      <c r="AO30" s="1097">
        <v>0</v>
      </c>
      <c r="AP30" s="1097">
        <v>0</v>
      </c>
      <c r="AQ30" s="1097">
        <v>0</v>
      </c>
      <c r="AR30" s="1060">
        <v>0</v>
      </c>
      <c r="AT30" s="1098">
        <v>0</v>
      </c>
      <c r="AU30" s="1098">
        <v>0</v>
      </c>
      <c r="AV30" s="1098">
        <v>0</v>
      </c>
      <c r="AW30" s="1098">
        <v>0</v>
      </c>
      <c r="AX30" s="1098">
        <v>0</v>
      </c>
      <c r="AY30" s="1062">
        <v>0</v>
      </c>
      <c r="BA30" s="1099">
        <v>0</v>
      </c>
      <c r="BB30" s="1100">
        <v>0</v>
      </c>
      <c r="BC30" s="1100">
        <v>0</v>
      </c>
      <c r="BD30" s="1099">
        <v>0</v>
      </c>
      <c r="BE30" s="1099">
        <v>0</v>
      </c>
      <c r="BF30" s="1099">
        <v>0</v>
      </c>
      <c r="BH30" s="1101">
        <v>0</v>
      </c>
      <c r="BI30" s="1101">
        <v>0</v>
      </c>
      <c r="BJ30" s="1101">
        <v>0</v>
      </c>
      <c r="BK30" s="1101">
        <v>0</v>
      </c>
      <c r="BL30" s="1101">
        <v>0</v>
      </c>
      <c r="BM30" s="1101">
        <v>0</v>
      </c>
      <c r="BO30" s="1102">
        <v>0</v>
      </c>
      <c r="BR30" s="22"/>
    </row>
    <row r="31" spans="1:70" x14ac:dyDescent="0.2">
      <c r="A31" s="1084" t="s">
        <v>1393</v>
      </c>
      <c r="B31" s="44"/>
      <c r="C31" s="28">
        <v>1227.599838056969</v>
      </c>
      <c r="D31" s="28">
        <v>3819.9650645657475</v>
      </c>
      <c r="E31" s="28">
        <v>7199.2163731032997</v>
      </c>
      <c r="F31" s="28">
        <v>11587.884230015945</v>
      </c>
      <c r="G31" s="44"/>
      <c r="I31">
        <v>12</v>
      </c>
      <c r="K31" s="1072">
        <v>0</v>
      </c>
      <c r="L31" s="1072">
        <v>0</v>
      </c>
      <c r="M31" s="1072">
        <v>9</v>
      </c>
      <c r="N31" s="1124">
        <v>3</v>
      </c>
      <c r="P31" s="1086">
        <v>188680.60004797752</v>
      </c>
      <c r="Q31" s="1086">
        <v>120000</v>
      </c>
      <c r="R31" s="1086">
        <v>-1345.400161943031</v>
      </c>
      <c r="S31" s="1086">
        <v>1246.9650645657475</v>
      </c>
      <c r="T31" s="1086">
        <v>4626.2163731032997</v>
      </c>
      <c r="U31" s="1086">
        <v>9014.8842300159449</v>
      </c>
      <c r="V31" s="140">
        <v>2573</v>
      </c>
      <c r="W31" s="1087"/>
      <c r="X31" s="1087"/>
      <c r="Y31" s="1094"/>
      <c r="Z31" s="1087">
        <v>0</v>
      </c>
      <c r="AA31" s="1094"/>
      <c r="AB31" s="1087">
        <v>0</v>
      </c>
      <c r="AC31" s="1089">
        <v>0</v>
      </c>
      <c r="AD31" s="1090">
        <v>0</v>
      </c>
      <c r="AE31" s="1091">
        <v>0</v>
      </c>
      <c r="AF31" s="1125"/>
      <c r="AG31" s="1093" t="e">
        <v>#DIV/0!</v>
      </c>
      <c r="AH31" s="1087">
        <v>219556.60004797752</v>
      </c>
      <c r="AI31" s="1093">
        <v>12</v>
      </c>
      <c r="AJ31" s="1087">
        <v>18296.383337331459</v>
      </c>
      <c r="AK31" s="1087"/>
      <c r="AM31" s="1097">
        <v>0</v>
      </c>
      <c r="AN31" s="1097">
        <v>0</v>
      </c>
      <c r="AO31" s="1097">
        <v>0</v>
      </c>
      <c r="AP31" s="1097">
        <v>0</v>
      </c>
      <c r="AQ31" s="1097">
        <v>0</v>
      </c>
      <c r="AR31" s="1060">
        <v>0</v>
      </c>
      <c r="AT31" s="1098">
        <v>0</v>
      </c>
      <c r="AU31" s="1098">
        <v>0</v>
      </c>
      <c r="AV31" s="1098">
        <v>0</v>
      </c>
      <c r="AW31" s="1098">
        <v>0</v>
      </c>
      <c r="AX31" s="1098">
        <v>0</v>
      </c>
      <c r="AY31" s="1062">
        <v>0</v>
      </c>
      <c r="BA31" s="1099">
        <v>0</v>
      </c>
      <c r="BB31" s="1100">
        <v>0</v>
      </c>
      <c r="BC31" s="1100">
        <v>0</v>
      </c>
      <c r="BD31" s="1099">
        <v>0</v>
      </c>
      <c r="BE31" s="1099">
        <v>0</v>
      </c>
      <c r="BF31" s="1099">
        <v>0</v>
      </c>
      <c r="BH31" s="1101">
        <v>0</v>
      </c>
      <c r="BI31" s="1101">
        <v>0</v>
      </c>
      <c r="BJ31" s="1101">
        <v>0</v>
      </c>
      <c r="BK31" s="1101">
        <v>0</v>
      </c>
      <c r="BL31" s="1101">
        <v>0</v>
      </c>
      <c r="BM31" s="1101">
        <v>0</v>
      </c>
      <c r="BO31" s="1102">
        <v>0</v>
      </c>
      <c r="BR31" s="22"/>
    </row>
    <row r="32" spans="1:70" x14ac:dyDescent="0.2">
      <c r="A32" s="1071"/>
      <c r="B32" s="44"/>
      <c r="C32" s="44"/>
      <c r="D32" s="44"/>
      <c r="E32" s="44"/>
      <c r="F32" s="44"/>
      <c r="G32" s="44"/>
      <c r="K32" s="1126"/>
      <c r="L32" s="1126"/>
      <c r="M32" s="1126"/>
      <c r="N32" s="1071"/>
      <c r="Y32" s="42"/>
      <c r="AA32" s="42"/>
    </row>
    <row r="33" spans="1:37" customFormat="1" ht="13.5" thickBot="1" x14ac:dyDescent="0.25">
      <c r="A33" s="44"/>
      <c r="B33" s="44"/>
      <c r="C33" s="44"/>
      <c r="D33" s="44"/>
      <c r="E33" s="44"/>
      <c r="F33" s="44"/>
      <c r="G33" s="44"/>
      <c r="K33" s="44"/>
      <c r="L33" s="44"/>
      <c r="M33" s="44"/>
      <c r="N33" s="44"/>
      <c r="Y33" s="23">
        <v>0</v>
      </c>
      <c r="Z33" s="1127">
        <v>0</v>
      </c>
      <c r="AA33" s="1128">
        <v>0</v>
      </c>
      <c r="AB33" s="1127">
        <v>0</v>
      </c>
      <c r="AC33" s="1129">
        <v>0</v>
      </c>
      <c r="AD33" s="1129">
        <v>0</v>
      </c>
      <c r="AE33" s="1129">
        <v>0</v>
      </c>
      <c r="AF33" s="1127"/>
      <c r="AG33" s="1130"/>
      <c r="AH33" s="1127">
        <v>335917.90185733524</v>
      </c>
      <c r="AI33" s="1130"/>
      <c r="AJ33" s="1127">
        <v>37689.933638891082</v>
      </c>
      <c r="AK33" s="1131"/>
    </row>
    <row r="34" spans="1:37" customFormat="1" x14ac:dyDescent="0.2">
      <c r="A34" s="44"/>
      <c r="B34" s="44"/>
      <c r="C34" s="44"/>
      <c r="D34" s="44"/>
      <c r="E34" s="44"/>
      <c r="F34" s="44"/>
      <c r="G34" s="44"/>
      <c r="K34" s="44"/>
      <c r="L34" s="44"/>
      <c r="M34" s="44"/>
      <c r="N34" s="44"/>
      <c r="Y34" s="23"/>
      <c r="Z34" s="1131"/>
      <c r="AA34" s="23"/>
      <c r="AB34" s="1131"/>
      <c r="AC34" s="1132"/>
      <c r="AD34" s="1131"/>
      <c r="AE34" s="1131"/>
      <c r="AF34" s="1131"/>
      <c r="AG34" s="42"/>
      <c r="AH34" s="1131"/>
      <c r="AI34" s="42"/>
      <c r="AJ34" s="1131"/>
      <c r="AK34" s="1131"/>
    </row>
    <row r="35" spans="1:37" customFormat="1" x14ac:dyDescent="0.2">
      <c r="A35" s="44"/>
      <c r="B35" s="44"/>
      <c r="C35" s="44"/>
      <c r="D35" s="44"/>
      <c r="E35" s="44"/>
      <c r="F35" s="44"/>
      <c r="G35" s="44"/>
      <c r="K35" s="44"/>
      <c r="L35" s="44"/>
      <c r="M35" s="44"/>
      <c r="N35" s="44"/>
      <c r="Y35" s="23"/>
      <c r="Z35" s="1131"/>
      <c r="AA35" s="23"/>
      <c r="AB35" s="1131"/>
      <c r="AC35" s="1132"/>
      <c r="AD35" s="1131"/>
      <c r="AE35" s="1131"/>
      <c r="AF35" s="1131"/>
      <c r="AG35" s="42"/>
      <c r="AH35" s="1131">
        <v>4552897.549180516</v>
      </c>
      <c r="AI35" s="42"/>
      <c r="AJ35" s="1131"/>
      <c r="AK35" s="1131"/>
    </row>
    <row r="36" spans="1:37" customFormat="1" x14ac:dyDescent="0.2">
      <c r="A36" t="s">
        <v>1394</v>
      </c>
      <c r="I36" s="1133">
        <v>8654.599838056969</v>
      </c>
      <c r="K36" s="254"/>
      <c r="Y36" s="1133">
        <v>8654.599838056969</v>
      </c>
      <c r="AA36" s="58"/>
      <c r="AC36" s="1134">
        <v>0</v>
      </c>
      <c r="AD36" s="1134">
        <v>76721.400435157018</v>
      </c>
      <c r="AE36" s="1135">
        <v>76721.400435157018</v>
      </c>
      <c r="AG36" s="42"/>
      <c r="AI36" s="42"/>
    </row>
    <row r="37" spans="1:37" customFormat="1" x14ac:dyDescent="0.2">
      <c r="A37" t="s">
        <v>1371</v>
      </c>
      <c r="I37" s="1133">
        <v>11246.965064565748</v>
      </c>
      <c r="K37" s="254"/>
      <c r="Y37" s="1133">
        <v>11246.965064565748</v>
      </c>
      <c r="AG37" s="42"/>
      <c r="AI37" s="42"/>
    </row>
    <row r="38" spans="1:37" customFormat="1" x14ac:dyDescent="0.2">
      <c r="A38" t="s">
        <v>1372</v>
      </c>
      <c r="I38" s="1133">
        <v>14626.2163731033</v>
      </c>
      <c r="K38" s="254"/>
      <c r="Y38" s="1133">
        <v>14626.2163731033</v>
      </c>
      <c r="AG38" s="42"/>
      <c r="AI38" s="42"/>
    </row>
    <row r="39" spans="1:37" customFormat="1" x14ac:dyDescent="0.2">
      <c r="A39" t="s">
        <v>1373</v>
      </c>
      <c r="I39" s="1133">
        <v>19014.884230015945</v>
      </c>
      <c r="K39" s="254"/>
      <c r="Y39" s="1133">
        <v>19014.884230015945</v>
      </c>
      <c r="AG39" s="42"/>
      <c r="AI39" s="42"/>
    </row>
    <row r="40" spans="1:37" customFormat="1" x14ac:dyDescent="0.2">
      <c r="I40" s="1133"/>
      <c r="K40" s="254"/>
      <c r="Y40" s="1136"/>
      <c r="AG40" s="42"/>
      <c r="AI40" s="42"/>
    </row>
    <row r="41" spans="1:37" customFormat="1" x14ac:dyDescent="0.2">
      <c r="I41" s="1133"/>
      <c r="K41" s="254"/>
      <c r="Y41" s="1136"/>
      <c r="AG41" s="42"/>
      <c r="AI41" s="42"/>
    </row>
    <row r="42" spans="1:37" customFormat="1" x14ac:dyDescent="0.2">
      <c r="A42" s="741" t="s">
        <v>169</v>
      </c>
      <c r="AE42" s="1131">
        <v>34763.652690047835</v>
      </c>
      <c r="AG42" s="42"/>
      <c r="AI42" s="42"/>
    </row>
    <row r="43" spans="1:37" customFormat="1" x14ac:dyDescent="0.2">
      <c r="A43" s="741" t="s">
        <v>221</v>
      </c>
      <c r="AE43" s="1131">
        <v>41957.747745109184</v>
      </c>
      <c r="AG43" s="42"/>
      <c r="AI43" s="42"/>
    </row>
    <row r="44" spans="1:37" customFormat="1" x14ac:dyDescent="0.2">
      <c r="AE44" s="1132">
        <v>76721.400435157018</v>
      </c>
      <c r="AG44" s="42"/>
      <c r="AI44" s="42"/>
    </row>
  </sheetData>
  <sheetProtection password="EF5C" sheet="1" objects="1" scenarios="1"/>
  <mergeCells count="4">
    <mergeCell ref="R2:U2"/>
    <mergeCell ref="V2:X2"/>
    <mergeCell ref="Y4:Z4"/>
    <mergeCell ref="AA4:AB4"/>
  </mergeCells>
  <pageMargins left="0.25" right="0.25" top="0.75" bottom="0.75" header="0.3" footer="0.3"/>
  <pageSetup paperSize="9" scale="45" orientation="landscape" r:id="rId1"/>
  <headerFooter>
    <oddHeader>&amp;C&amp;Z&amp;F</oddHeader>
  </headerFooter>
  <colBreaks count="1" manualBreakCount="1">
    <brk id="3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41"/>
  <sheetViews>
    <sheetView zoomScale="85" zoomScaleNormal="85" workbookViewId="0">
      <selection activeCell="Y20" sqref="Y20"/>
    </sheetView>
  </sheetViews>
  <sheetFormatPr defaultRowHeight="12.75" x14ac:dyDescent="0.2"/>
  <cols>
    <col min="1" max="1" width="33" style="1196" customWidth="1"/>
    <col min="2" max="2" width="8" style="1196" customWidth="1"/>
    <col min="3" max="7" width="9.5703125" style="1196" customWidth="1"/>
    <col min="8" max="8" width="3.5703125" style="1196" customWidth="1"/>
    <col min="9" max="9" width="17.28515625" style="1196" hidden="1" customWidth="1"/>
    <col min="10" max="10" width="2.5703125" style="1196" hidden="1" customWidth="1"/>
    <col min="11" max="11" width="17.28515625" style="1196" hidden="1" customWidth="1"/>
    <col min="12" max="14" width="9.140625" style="1196" hidden="1" customWidth="1"/>
    <col min="15" max="15" width="2.85546875" style="1196" hidden="1" customWidth="1"/>
    <col min="16" max="17" width="18.140625" style="1196" hidden="1" customWidth="1"/>
    <col min="18" max="21" width="18.7109375" style="1196" hidden="1" customWidth="1"/>
    <col min="22" max="22" width="15.28515625" style="1196" hidden="1" customWidth="1"/>
    <col min="23" max="24" width="10.28515625" style="1196" hidden="1" customWidth="1"/>
    <col min="25" max="26" width="12.28515625" style="1196" customWidth="1"/>
    <col min="27" max="27" width="10.28515625" style="1196" customWidth="1"/>
    <col min="28" max="28" width="12.140625" style="1196" bestFit="1" customWidth="1"/>
    <col min="29" max="29" width="13.28515625" style="1196" bestFit="1" customWidth="1"/>
    <col min="30" max="32" width="12.28515625" style="1196" customWidth="1"/>
    <col min="33" max="33" width="12.28515625" style="1197" customWidth="1"/>
    <col min="34" max="34" width="12.5703125" style="1196" customWidth="1"/>
    <col min="35" max="35" width="12.5703125" style="1197" customWidth="1"/>
    <col min="36" max="37" width="10.28515625" style="1196" customWidth="1"/>
    <col min="38" max="38" width="2" style="1196" customWidth="1"/>
    <col min="39" max="44" width="9.140625" style="1196"/>
    <col min="45" max="45" width="2" style="1196" customWidth="1"/>
    <col min="46" max="51" width="9.140625" style="1196"/>
    <col min="52" max="52" width="1.85546875" style="1196" customWidth="1"/>
    <col min="53" max="53" width="9.140625" style="1196"/>
    <col min="54" max="54" width="11.28515625" style="1196" bestFit="1" customWidth="1"/>
    <col min="55" max="55" width="12.28515625" style="1196" bestFit="1" customWidth="1"/>
    <col min="56" max="56" width="9.7109375" style="1196" bestFit="1" customWidth="1"/>
    <col min="57" max="57" width="9.7109375" style="1196" customWidth="1"/>
    <col min="58" max="58" width="9.7109375" style="1196" bestFit="1" customWidth="1"/>
    <col min="59" max="59" width="1.7109375" style="1196" customWidth="1"/>
    <col min="60" max="60" width="9.140625" style="1196"/>
    <col min="61" max="63" width="9.7109375" style="1196" bestFit="1" customWidth="1"/>
    <col min="64" max="64" width="9.7109375" style="1196" customWidth="1"/>
    <col min="65" max="65" width="9.7109375" style="1196" bestFit="1" customWidth="1"/>
    <col min="66" max="66" width="2.85546875" style="1196" customWidth="1"/>
    <col min="67" max="67" width="11.28515625" style="1198" bestFit="1" customWidth="1"/>
    <col min="68" max="16384" width="9.140625" style="1196"/>
  </cols>
  <sheetData>
    <row r="1" spans="1:67" ht="18" x14ac:dyDescent="0.25">
      <c r="A1" s="1195" t="s">
        <v>1352</v>
      </c>
      <c r="B1" s="1195"/>
      <c r="C1" s="1195"/>
      <c r="D1" s="1195"/>
      <c r="E1" s="1195"/>
      <c r="F1" s="1195"/>
      <c r="G1" s="1195"/>
    </row>
    <row r="2" spans="1:67" x14ac:dyDescent="0.2">
      <c r="A2" s="1196" t="s">
        <v>1451</v>
      </c>
      <c r="I2" s="1196" t="s">
        <v>1354</v>
      </c>
      <c r="P2" s="1196" t="s">
        <v>1355</v>
      </c>
      <c r="Q2" s="1199" t="s">
        <v>1356</v>
      </c>
      <c r="R2" s="1352" t="s">
        <v>1357</v>
      </c>
      <c r="S2" s="1353"/>
      <c r="T2" s="1353"/>
      <c r="U2" s="1354"/>
      <c r="V2" s="1352" t="s">
        <v>1358</v>
      </c>
      <c r="W2" s="1353"/>
      <c r="X2" s="1354"/>
      <c r="Y2" s="1200"/>
      <c r="Z2" s="1200"/>
      <c r="AA2" s="1200"/>
      <c r="AB2" s="1200"/>
      <c r="AC2" s="1200"/>
      <c r="AD2" s="1200"/>
      <c r="AE2" s="1200"/>
      <c r="AF2" s="1200"/>
      <c r="AG2" s="1201"/>
      <c r="AH2" s="1200"/>
      <c r="AI2" s="1201"/>
      <c r="AJ2" s="1200"/>
      <c r="AK2" s="1200"/>
    </row>
    <row r="3" spans="1:67" x14ac:dyDescent="0.2">
      <c r="AE3" s="1202"/>
      <c r="AK3" s="1203"/>
      <c r="AM3" s="1204" t="s">
        <v>1359</v>
      </c>
      <c r="AN3" s="1205"/>
      <c r="AO3" s="1205"/>
      <c r="AP3" s="1205"/>
      <c r="AQ3" s="1205"/>
      <c r="AR3" s="1205"/>
      <c r="AT3" s="1206" t="s">
        <v>1360</v>
      </c>
      <c r="AU3" s="1207"/>
      <c r="AV3" s="1207"/>
      <c r="AW3" s="1207"/>
      <c r="AX3" s="1207"/>
      <c r="AY3" s="1207"/>
      <c r="BA3" s="1208" t="s">
        <v>1361</v>
      </c>
      <c r="BB3" s="1205"/>
      <c r="BC3" s="1205"/>
      <c r="BD3" s="1205"/>
      <c r="BE3" s="1205"/>
      <c r="BF3" s="1205"/>
      <c r="BH3" s="1209" t="s">
        <v>1362</v>
      </c>
      <c r="BI3" s="1207"/>
      <c r="BJ3" s="1207"/>
      <c r="BK3" s="1207"/>
      <c r="BL3" s="1207"/>
      <c r="BM3" s="1207"/>
      <c r="BO3" s="1210" t="s">
        <v>1363</v>
      </c>
    </row>
    <row r="4" spans="1:67" x14ac:dyDescent="0.2">
      <c r="A4" s="1211" t="s">
        <v>1364</v>
      </c>
      <c r="B4" s="1212"/>
      <c r="C4" s="1213" t="s">
        <v>1365</v>
      </c>
      <c r="D4" s="1213"/>
      <c r="E4" s="1213"/>
      <c r="F4" s="1213"/>
      <c r="G4" s="1213"/>
      <c r="K4" s="1214" t="s">
        <v>1366</v>
      </c>
      <c r="L4" s="1215"/>
      <c r="M4" s="1215"/>
      <c r="N4" s="1216"/>
      <c r="V4" s="1196" t="s">
        <v>1367</v>
      </c>
      <c r="W4" s="1196" t="s">
        <v>168</v>
      </c>
      <c r="X4" s="1196" t="s">
        <v>167</v>
      </c>
      <c r="Y4" s="1355" t="s">
        <v>1368</v>
      </c>
      <c r="Z4" s="1355"/>
      <c r="AA4" s="1355" t="s">
        <v>1369</v>
      </c>
      <c r="AB4" s="1355"/>
      <c r="AE4" s="1217" t="s">
        <v>1014</v>
      </c>
      <c r="AF4" s="1218"/>
      <c r="AG4" s="1219"/>
      <c r="AH4" s="1218" t="s">
        <v>773</v>
      </c>
      <c r="AI4" s="1219"/>
      <c r="AJ4" s="1220"/>
      <c r="AK4" s="1221"/>
      <c r="AM4" s="1222" t="s">
        <v>1370</v>
      </c>
      <c r="AN4" s="1222" t="s">
        <v>1371</v>
      </c>
      <c r="AO4" s="1222" t="s">
        <v>1372</v>
      </c>
      <c r="AP4" s="1222" t="s">
        <v>1373</v>
      </c>
      <c r="AQ4" s="1222" t="s">
        <v>1374</v>
      </c>
      <c r="AR4" s="1222" t="s">
        <v>633</v>
      </c>
      <c r="AT4" s="1223" t="s">
        <v>1370</v>
      </c>
      <c r="AU4" s="1223" t="s">
        <v>1371</v>
      </c>
      <c r="AV4" s="1223" t="s">
        <v>1372</v>
      </c>
      <c r="AW4" s="1223" t="s">
        <v>1373</v>
      </c>
      <c r="AX4" s="1223" t="s">
        <v>1374</v>
      </c>
      <c r="AY4" s="1223" t="s">
        <v>633</v>
      </c>
      <c r="BA4" s="1222" t="s">
        <v>1370</v>
      </c>
      <c r="BB4" s="1222" t="s">
        <v>1371</v>
      </c>
      <c r="BC4" s="1222" t="s">
        <v>1372</v>
      </c>
      <c r="BD4" s="1222" t="s">
        <v>1373</v>
      </c>
      <c r="BE4" s="1222" t="s">
        <v>1374</v>
      </c>
      <c r="BF4" s="1222" t="s">
        <v>633</v>
      </c>
      <c r="BH4" s="1223" t="s">
        <v>1370</v>
      </c>
      <c r="BI4" s="1223" t="s">
        <v>1371</v>
      </c>
      <c r="BJ4" s="1223" t="s">
        <v>1372</v>
      </c>
      <c r="BK4" s="1223" t="s">
        <v>1373</v>
      </c>
      <c r="BL4" s="1223" t="s">
        <v>1374</v>
      </c>
      <c r="BM4" s="1223" t="s">
        <v>633</v>
      </c>
      <c r="BO4" s="1224"/>
    </row>
    <row r="5" spans="1:67" ht="51" x14ac:dyDescent="0.2">
      <c r="A5" s="1225"/>
      <c r="B5" s="1226"/>
      <c r="C5" s="1220"/>
      <c r="D5" s="1220"/>
      <c r="E5" s="1220"/>
      <c r="F5" s="1220"/>
      <c r="G5" s="1220"/>
      <c r="K5" s="1227" t="s">
        <v>1370</v>
      </c>
      <c r="L5" s="1200" t="s">
        <v>1371</v>
      </c>
      <c r="M5" s="1200" t="s">
        <v>1372</v>
      </c>
      <c r="N5" s="1228" t="s">
        <v>1373</v>
      </c>
      <c r="R5" s="1200" t="s">
        <v>1370</v>
      </c>
      <c r="S5" s="1200" t="s">
        <v>1371</v>
      </c>
      <c r="T5" s="1200" t="s">
        <v>1372</v>
      </c>
      <c r="U5" s="1200" t="s">
        <v>1373</v>
      </c>
      <c r="Y5" s="1196" t="s">
        <v>1375</v>
      </c>
      <c r="Z5" s="1218" t="s">
        <v>1376</v>
      </c>
      <c r="AA5" s="1196" t="s">
        <v>1375</v>
      </c>
      <c r="AB5" s="1196" t="s">
        <v>1376</v>
      </c>
      <c r="AC5" s="1229" t="s">
        <v>1376</v>
      </c>
      <c r="AD5" s="1229" t="s">
        <v>1377</v>
      </c>
      <c r="AE5" s="1230" t="s">
        <v>633</v>
      </c>
      <c r="AF5" s="1231"/>
      <c r="AG5" s="1232" t="s">
        <v>1378</v>
      </c>
      <c r="AH5" s="1233" t="s">
        <v>1379</v>
      </c>
      <c r="AI5" s="1234" t="s">
        <v>1380</v>
      </c>
      <c r="AJ5" s="1235" t="s">
        <v>1381</v>
      </c>
      <c r="AK5" s="1221"/>
      <c r="AM5" s="1205"/>
      <c r="AN5" s="1205"/>
      <c r="AO5" s="1205"/>
      <c r="AP5" s="1205"/>
      <c r="AQ5" s="1205"/>
      <c r="AR5" s="1205"/>
      <c r="AT5" s="1207"/>
      <c r="AU5" s="1207"/>
      <c r="AV5" s="1207"/>
      <c r="AW5" s="1207"/>
      <c r="AX5" s="1207"/>
      <c r="AY5" s="1207"/>
      <c r="BA5" s="1205"/>
      <c r="BB5" s="1205"/>
      <c r="BC5" s="1205"/>
      <c r="BD5" s="1205"/>
      <c r="BE5" s="1205"/>
      <c r="BF5" s="1205"/>
      <c r="BH5" s="1207"/>
      <c r="BI5" s="1207"/>
      <c r="BJ5" s="1207"/>
      <c r="BK5" s="1207"/>
      <c r="BL5" s="1207"/>
      <c r="BM5" s="1207"/>
    </row>
    <row r="6" spans="1:67" x14ac:dyDescent="0.2">
      <c r="A6" s="1236"/>
      <c r="B6" s="1226"/>
      <c r="C6" s="1220">
        <v>2</v>
      </c>
      <c r="D6" s="1220">
        <v>3</v>
      </c>
      <c r="E6" s="1220">
        <v>4</v>
      </c>
      <c r="F6" s="1220">
        <v>5</v>
      </c>
      <c r="G6" s="1220">
        <v>6</v>
      </c>
      <c r="K6" s="1237"/>
      <c r="L6" s="1238"/>
      <c r="M6" s="1238"/>
      <c r="N6" s="1239"/>
      <c r="Z6" s="1219" t="s">
        <v>1382</v>
      </c>
      <c r="AB6" s="1218" t="s">
        <v>1382</v>
      </c>
      <c r="AC6" s="1229"/>
      <c r="AD6" s="1240"/>
      <c r="AE6" s="1230" t="s">
        <v>790</v>
      </c>
      <c r="AF6" s="1231"/>
      <c r="AG6" s="1241"/>
      <c r="AJ6" s="1220"/>
      <c r="AK6" s="1221"/>
      <c r="AM6" s="1205"/>
      <c r="AN6" s="1205"/>
      <c r="AO6" s="1205"/>
      <c r="AP6" s="1205"/>
      <c r="AQ6" s="1205"/>
      <c r="AR6" s="1205"/>
      <c r="AT6" s="1207"/>
      <c r="AU6" s="1207"/>
      <c r="AV6" s="1207"/>
      <c r="AW6" s="1207"/>
      <c r="AX6" s="1207"/>
      <c r="AY6" s="1207"/>
      <c r="BA6" s="1205"/>
      <c r="BB6" s="1205"/>
      <c r="BC6" s="1205"/>
      <c r="BD6" s="1205"/>
      <c r="BE6" s="1205"/>
      <c r="BF6" s="1205"/>
      <c r="BH6" s="1207"/>
      <c r="BI6" s="1207"/>
      <c r="BJ6" s="1207"/>
      <c r="BK6" s="1207"/>
      <c r="BL6" s="1207"/>
      <c r="BM6" s="1207"/>
    </row>
    <row r="7" spans="1:67" x14ac:dyDescent="0.2">
      <c r="A7" s="1242" t="s">
        <v>312</v>
      </c>
      <c r="B7" s="1243">
        <v>2442</v>
      </c>
      <c r="C7" s="1085">
        <v>1227.599838056969</v>
      </c>
      <c r="D7" s="1085">
        <v>3819.9650645657475</v>
      </c>
      <c r="E7" s="1085">
        <v>7199.2163731032997</v>
      </c>
      <c r="F7" s="1085">
        <v>11587.884230015945</v>
      </c>
      <c r="G7" s="1085"/>
      <c r="I7" s="1196">
        <v>14</v>
      </c>
      <c r="K7" s="1227">
        <v>0</v>
      </c>
      <c r="L7" s="1200">
        <v>6</v>
      </c>
      <c r="M7" s="1200">
        <v>8</v>
      </c>
      <c r="N7" s="1228">
        <v>0</v>
      </c>
      <c r="P7" s="1086">
        <v>184491.52137222089</v>
      </c>
      <c r="Q7" s="1086">
        <v>140000</v>
      </c>
      <c r="R7" s="1086">
        <v>-1345.400161943031</v>
      </c>
      <c r="S7" s="1086">
        <v>1246.9650645657475</v>
      </c>
      <c r="T7" s="1086">
        <v>4626.2163731032997</v>
      </c>
      <c r="U7" s="1086">
        <v>9014.8842300159449</v>
      </c>
      <c r="V7" s="1244">
        <v>2573</v>
      </c>
      <c r="W7" s="1087"/>
      <c r="X7" s="1087"/>
      <c r="Y7" s="1088">
        <v>12</v>
      </c>
      <c r="Z7" s="1087">
        <v>50000</v>
      </c>
      <c r="AA7" s="1088">
        <v>12</v>
      </c>
      <c r="AB7" s="1087">
        <v>70000</v>
      </c>
      <c r="AC7" s="1089">
        <v>120000</v>
      </c>
      <c r="AD7" s="1090">
        <v>69494.339934551826</v>
      </c>
      <c r="AE7" s="1091">
        <v>189494.33993455183</v>
      </c>
      <c r="AF7" s="1092"/>
      <c r="AG7" s="1093">
        <v>15791.194994545986</v>
      </c>
      <c r="AH7" s="1087">
        <v>220513.52137222089</v>
      </c>
      <c r="AI7" s="1094">
        <v>14.000000000000002</v>
      </c>
      <c r="AJ7" s="1092">
        <v>15750.965812301491</v>
      </c>
      <c r="AK7" s="1095"/>
      <c r="AL7" s="1245"/>
      <c r="AM7" s="1246">
        <v>0</v>
      </c>
      <c r="AN7" s="1246">
        <v>5</v>
      </c>
      <c r="AO7" s="1246">
        <v>7</v>
      </c>
      <c r="AP7" s="1246">
        <v>0</v>
      </c>
      <c r="AQ7" s="1246">
        <v>0</v>
      </c>
      <c r="AR7" s="1205">
        <v>12</v>
      </c>
      <c r="AT7" s="1247">
        <v>0</v>
      </c>
      <c r="AU7" s="1247">
        <v>5</v>
      </c>
      <c r="AV7" s="1247">
        <v>7</v>
      </c>
      <c r="AW7" s="1247">
        <v>0</v>
      </c>
      <c r="AX7" s="1247">
        <v>0</v>
      </c>
      <c r="AY7" s="1207">
        <v>12</v>
      </c>
      <c r="BA7" s="1248">
        <v>0</v>
      </c>
      <c r="BB7" s="1249">
        <v>7958.2605511786405</v>
      </c>
      <c r="BC7" s="1249">
        <v>20997.714421551289</v>
      </c>
      <c r="BD7" s="1248">
        <v>0</v>
      </c>
      <c r="BE7" s="1248">
        <v>0</v>
      </c>
      <c r="BF7" s="1248">
        <v>28955.974972729928</v>
      </c>
      <c r="BH7" s="1250">
        <v>0</v>
      </c>
      <c r="BI7" s="1250">
        <v>11141.564771650097</v>
      </c>
      <c r="BJ7" s="1250">
        <v>29396.800190171809</v>
      </c>
      <c r="BK7" s="1250">
        <v>0</v>
      </c>
      <c r="BL7" s="1250">
        <v>0</v>
      </c>
      <c r="BM7" s="1250">
        <v>40538.364961821906</v>
      </c>
      <c r="BO7" s="1251">
        <v>69494.339934551826</v>
      </c>
    </row>
    <row r="8" spans="1:67" x14ac:dyDescent="0.2">
      <c r="A8" s="1242" t="s">
        <v>6</v>
      </c>
      <c r="B8" s="1243">
        <v>2629</v>
      </c>
      <c r="C8" s="1085">
        <v>1227.599838056969</v>
      </c>
      <c r="D8" s="1085">
        <v>3819.9650645657475</v>
      </c>
      <c r="E8" s="1085">
        <v>7199.2163731032997</v>
      </c>
      <c r="F8" s="1085">
        <v>11587.884230015945</v>
      </c>
      <c r="G8" s="1085"/>
      <c r="I8" s="1196">
        <v>10</v>
      </c>
      <c r="K8" s="1227">
        <v>0</v>
      </c>
      <c r="L8" s="1200">
        <v>5</v>
      </c>
      <c r="M8" s="1200">
        <v>1</v>
      </c>
      <c r="N8" s="1228">
        <v>4</v>
      </c>
      <c r="P8" s="1086">
        <v>146920.57861599582</v>
      </c>
      <c r="Q8" s="1086">
        <v>100000</v>
      </c>
      <c r="R8" s="1086">
        <v>-1345.400161943031</v>
      </c>
      <c r="S8" s="1086">
        <v>1246.9650645657475</v>
      </c>
      <c r="T8" s="1086">
        <v>4626.2163731032997</v>
      </c>
      <c r="U8" s="1086">
        <v>9014.8842300159449</v>
      </c>
      <c r="V8" s="1244">
        <v>2573</v>
      </c>
      <c r="W8" s="1087"/>
      <c r="X8" s="1087"/>
      <c r="Y8" s="1088">
        <v>10</v>
      </c>
      <c r="Z8" s="1087">
        <v>41666.666666666672</v>
      </c>
      <c r="AA8" s="1088">
        <v>10</v>
      </c>
      <c r="AB8" s="1087">
        <v>58333.333333333343</v>
      </c>
      <c r="AC8" s="1089">
        <v>100000.00000000001</v>
      </c>
      <c r="AD8" s="1090">
        <v>72650.578615995808</v>
      </c>
      <c r="AE8" s="1091">
        <v>172650.57861599582</v>
      </c>
      <c r="AF8" s="1092"/>
      <c r="AG8" s="1093">
        <v>17265.057861599584</v>
      </c>
      <c r="AH8" s="1087">
        <v>172650.57861599582</v>
      </c>
      <c r="AI8" s="1094">
        <v>10</v>
      </c>
      <c r="AJ8" s="1092">
        <v>17265.057861599584</v>
      </c>
      <c r="AK8" s="1095"/>
      <c r="AM8" s="1246">
        <v>0</v>
      </c>
      <c r="AN8" s="1246">
        <v>5</v>
      </c>
      <c r="AO8" s="1246">
        <v>1</v>
      </c>
      <c r="AP8" s="1246">
        <v>4</v>
      </c>
      <c r="AQ8" s="1246">
        <v>0</v>
      </c>
      <c r="AR8" s="1205">
        <v>10</v>
      </c>
      <c r="AT8" s="1247">
        <v>0</v>
      </c>
      <c r="AU8" s="1247">
        <v>5</v>
      </c>
      <c r="AV8" s="1247">
        <v>1</v>
      </c>
      <c r="AW8" s="1247">
        <v>4</v>
      </c>
      <c r="AX8" s="1247">
        <v>0</v>
      </c>
      <c r="AY8" s="1207">
        <v>10</v>
      </c>
      <c r="BA8" s="1248">
        <v>0</v>
      </c>
      <c r="BB8" s="1249">
        <v>7958.2605511786405</v>
      </c>
      <c r="BC8" s="1249">
        <v>2999.6734887930415</v>
      </c>
      <c r="BD8" s="1248">
        <v>19313.140383359907</v>
      </c>
      <c r="BE8" s="1248">
        <v>0</v>
      </c>
      <c r="BF8" s="1248">
        <v>30271.074423331589</v>
      </c>
      <c r="BH8" s="1250">
        <v>0</v>
      </c>
      <c r="BI8" s="1250">
        <v>11141.564771650097</v>
      </c>
      <c r="BJ8" s="1250">
        <v>4199.5428843102582</v>
      </c>
      <c r="BK8" s="1250">
        <v>27038.396536703869</v>
      </c>
      <c r="BL8" s="1250">
        <v>0</v>
      </c>
      <c r="BM8" s="1250">
        <v>42379.504192664223</v>
      </c>
      <c r="BO8" s="1251">
        <v>72650.578615995808</v>
      </c>
    </row>
    <row r="9" spans="1:67" x14ac:dyDescent="0.2">
      <c r="A9" s="1252" t="s">
        <v>1383</v>
      </c>
      <c r="B9" s="1243">
        <v>4177</v>
      </c>
      <c r="C9" s="1085">
        <v>2294.599838056969</v>
      </c>
      <c r="D9" s="1085">
        <v>4886.9650645657475</v>
      </c>
      <c r="E9" s="1085">
        <v>8266.2163731032997</v>
      </c>
      <c r="F9" s="1085">
        <v>12654.884230015945</v>
      </c>
      <c r="G9" s="1085"/>
      <c r="I9" s="1196">
        <v>38</v>
      </c>
      <c r="K9" s="1227">
        <v>15</v>
      </c>
      <c r="L9" s="1200">
        <v>15</v>
      </c>
      <c r="M9" s="1200">
        <v>8</v>
      </c>
      <c r="N9" s="1228">
        <v>0</v>
      </c>
      <c r="P9" s="1086">
        <v>415533.20452416717</v>
      </c>
      <c r="Q9" s="1086">
        <v>380000</v>
      </c>
      <c r="R9" s="1086">
        <v>-1345.400161943031</v>
      </c>
      <c r="S9" s="1086">
        <v>1246.9650645657475</v>
      </c>
      <c r="T9" s="1086">
        <v>4626.2163731032997</v>
      </c>
      <c r="U9" s="1086">
        <v>9014.8842300159449</v>
      </c>
      <c r="V9" s="1244"/>
      <c r="W9" s="1087">
        <v>3640</v>
      </c>
      <c r="X9" s="1087"/>
      <c r="Y9" s="1088">
        <v>42</v>
      </c>
      <c r="Z9" s="1087">
        <v>175000</v>
      </c>
      <c r="AA9" s="1088">
        <v>42</v>
      </c>
      <c r="AB9" s="1087">
        <v>245000.00000000003</v>
      </c>
      <c r="AC9" s="1089">
        <v>420000</v>
      </c>
      <c r="AD9" s="1090">
        <v>200159.56739950523</v>
      </c>
      <c r="AE9" s="1091">
        <v>620159.56739950529</v>
      </c>
      <c r="AF9" s="1092"/>
      <c r="AG9" s="1093">
        <v>14765.703985702507</v>
      </c>
      <c r="AH9" s="1087">
        <v>566259.00874463865</v>
      </c>
      <c r="AI9" s="1094">
        <v>38.833333333333329</v>
      </c>
      <c r="AJ9" s="1092">
        <v>14581.777049218164</v>
      </c>
      <c r="AK9" s="1095"/>
      <c r="AM9" s="1246">
        <v>15</v>
      </c>
      <c r="AN9" s="1246">
        <v>17</v>
      </c>
      <c r="AO9" s="1246">
        <v>10</v>
      </c>
      <c r="AP9" s="1246">
        <v>0</v>
      </c>
      <c r="AQ9" s="1246">
        <v>0</v>
      </c>
      <c r="AR9" s="1205">
        <v>42</v>
      </c>
      <c r="AT9" s="1247">
        <v>15</v>
      </c>
      <c r="AU9" s="1247">
        <v>17</v>
      </c>
      <c r="AV9" s="1247">
        <v>10</v>
      </c>
      <c r="AW9" s="1247">
        <v>0</v>
      </c>
      <c r="AX9" s="1247">
        <v>0</v>
      </c>
      <c r="AY9" s="1207">
        <v>42</v>
      </c>
      <c r="BA9" s="1248">
        <v>14341.248987856059</v>
      </c>
      <c r="BB9" s="1249">
        <v>34616.002540674046</v>
      </c>
      <c r="BC9" s="1249">
        <v>34442.568221263748</v>
      </c>
      <c r="BD9" s="1248">
        <v>0</v>
      </c>
      <c r="BE9" s="1248">
        <v>0</v>
      </c>
      <c r="BF9" s="1248">
        <v>83399.819749793853</v>
      </c>
      <c r="BH9" s="1250">
        <v>20077.748582998483</v>
      </c>
      <c r="BI9" s="1250">
        <v>48462.403556943667</v>
      </c>
      <c r="BJ9" s="1250">
        <v>48219.595509769249</v>
      </c>
      <c r="BK9" s="1250">
        <v>0</v>
      </c>
      <c r="BL9" s="1250">
        <v>0</v>
      </c>
      <c r="BM9" s="1250">
        <v>116759.7476497114</v>
      </c>
      <c r="BO9" s="1251">
        <v>200159.56739950523</v>
      </c>
    </row>
    <row r="10" spans="1:67" x14ac:dyDescent="0.2">
      <c r="A10" s="1252" t="s">
        <v>1384</v>
      </c>
      <c r="B10" s="1243">
        <v>4177</v>
      </c>
      <c r="C10" s="1085">
        <v>2757.599838056969</v>
      </c>
      <c r="D10" s="1085">
        <v>5349.9650645657475</v>
      </c>
      <c r="E10" s="1085">
        <v>8729.2163731032997</v>
      </c>
      <c r="F10" s="1085">
        <v>13117.884230015945</v>
      </c>
      <c r="G10" s="1085"/>
      <c r="K10" s="1227"/>
      <c r="L10" s="1200"/>
      <c r="M10" s="1200"/>
      <c r="N10" s="1228"/>
      <c r="P10" s="1086"/>
      <c r="Q10" s="1086"/>
      <c r="R10" s="1086">
        <v>-1345.400161943031</v>
      </c>
      <c r="S10" s="1086">
        <v>1246.9650645657475</v>
      </c>
      <c r="T10" s="1086">
        <v>4626.2163731032997</v>
      </c>
      <c r="U10" s="1086">
        <v>9014.8842300159449</v>
      </c>
      <c r="V10" s="1244"/>
      <c r="W10" s="1087"/>
      <c r="X10" s="1087">
        <v>4103</v>
      </c>
      <c r="Y10" s="1088"/>
      <c r="Z10" s="1087">
        <v>0</v>
      </c>
      <c r="AA10" s="1088"/>
      <c r="AB10" s="1087">
        <v>0</v>
      </c>
      <c r="AC10" s="1089">
        <v>0</v>
      </c>
      <c r="AD10" s="1090">
        <v>0</v>
      </c>
      <c r="AE10" s="1091">
        <v>0</v>
      </c>
      <c r="AF10" s="1092"/>
      <c r="AG10" s="1093"/>
      <c r="AH10" s="1087">
        <v>0</v>
      </c>
      <c r="AI10" s="1094">
        <v>0</v>
      </c>
      <c r="AJ10" s="1092"/>
      <c r="AK10" s="1095"/>
      <c r="AM10" s="1205"/>
      <c r="AN10" s="1205"/>
      <c r="AO10" s="1205"/>
      <c r="AP10" s="1205"/>
      <c r="AQ10" s="1205"/>
      <c r="AR10" s="1205"/>
      <c r="AT10" s="1207"/>
      <c r="AU10" s="1207"/>
      <c r="AV10" s="1207"/>
      <c r="AW10" s="1207"/>
      <c r="AX10" s="1207"/>
      <c r="AY10" s="1207">
        <v>0</v>
      </c>
      <c r="BA10" s="1248">
        <v>0</v>
      </c>
      <c r="BB10" s="1249">
        <v>0</v>
      </c>
      <c r="BC10" s="1249">
        <v>0</v>
      </c>
      <c r="BD10" s="1248">
        <v>0</v>
      </c>
      <c r="BE10" s="1248">
        <v>0</v>
      </c>
      <c r="BF10" s="1248">
        <v>0</v>
      </c>
      <c r="BH10" s="1250">
        <v>0</v>
      </c>
      <c r="BI10" s="1250">
        <v>0</v>
      </c>
      <c r="BJ10" s="1250">
        <v>0</v>
      </c>
      <c r="BK10" s="1250">
        <v>0</v>
      </c>
      <c r="BL10" s="1250">
        <v>0</v>
      </c>
      <c r="BM10" s="1250">
        <v>0</v>
      </c>
      <c r="BO10" s="1251">
        <v>0</v>
      </c>
    </row>
    <row r="11" spans="1:67" x14ac:dyDescent="0.2">
      <c r="A11" s="1242" t="s">
        <v>14</v>
      </c>
      <c r="B11" s="1243">
        <v>2433</v>
      </c>
      <c r="C11" s="1085">
        <v>1227.599838056969</v>
      </c>
      <c r="D11" s="1085">
        <v>3819.9650645657475</v>
      </c>
      <c r="E11" s="1085">
        <v>7199.2163731032997</v>
      </c>
      <c r="F11" s="1085">
        <v>11587.884230015945</v>
      </c>
      <c r="G11" s="1085"/>
      <c r="I11" s="1196">
        <v>34</v>
      </c>
      <c r="K11" s="1227">
        <v>0</v>
      </c>
      <c r="L11" s="1200">
        <v>8</v>
      </c>
      <c r="M11" s="1200">
        <v>21</v>
      </c>
      <c r="N11" s="1228">
        <v>5</v>
      </c>
      <c r="P11" s="1086">
        <v>492200.68550177501</v>
      </c>
      <c r="Q11" s="1086">
        <v>340000</v>
      </c>
      <c r="R11" s="1086">
        <v>-1345.400161943031</v>
      </c>
      <c r="S11" s="1086">
        <v>1246.9650645657475</v>
      </c>
      <c r="T11" s="1086">
        <v>4626.2163731032997</v>
      </c>
      <c r="U11" s="1086">
        <v>9014.8842300159449</v>
      </c>
      <c r="V11" s="1244">
        <v>2573</v>
      </c>
      <c r="W11" s="1087"/>
      <c r="X11" s="1087"/>
      <c r="Y11" s="1088">
        <v>34</v>
      </c>
      <c r="Z11" s="1087">
        <v>141666.66666666669</v>
      </c>
      <c r="AA11" s="1088">
        <v>34</v>
      </c>
      <c r="AB11" s="1087">
        <v>198333.33333333334</v>
      </c>
      <c r="AC11" s="1089">
        <v>340000</v>
      </c>
      <c r="AD11" s="1090">
        <v>239682.68550177501</v>
      </c>
      <c r="AE11" s="1091">
        <v>579682.68550177501</v>
      </c>
      <c r="AF11" s="1092"/>
      <c r="AG11" s="1093">
        <v>17049.490750052206</v>
      </c>
      <c r="AH11" s="1087">
        <v>579682.68550177501</v>
      </c>
      <c r="AI11" s="1094">
        <v>34</v>
      </c>
      <c r="AJ11" s="1092">
        <v>17049.490750052206</v>
      </c>
      <c r="AK11" s="1095"/>
      <c r="AM11" s="1246">
        <v>0</v>
      </c>
      <c r="AN11" s="1246">
        <v>8</v>
      </c>
      <c r="AO11" s="1246">
        <v>21</v>
      </c>
      <c r="AP11" s="1246">
        <v>5</v>
      </c>
      <c r="AQ11" s="1246">
        <v>0</v>
      </c>
      <c r="AR11" s="1205">
        <v>34</v>
      </c>
      <c r="AT11" s="1247">
        <v>0</v>
      </c>
      <c r="AU11" s="1247">
        <v>8</v>
      </c>
      <c r="AV11" s="1247">
        <v>21</v>
      </c>
      <c r="AW11" s="1247">
        <v>5</v>
      </c>
      <c r="AX11" s="1247">
        <v>0</v>
      </c>
      <c r="AY11" s="1207">
        <v>34</v>
      </c>
      <c r="BA11" s="1248">
        <v>0</v>
      </c>
      <c r="BB11" s="1249">
        <v>12733.216881885826</v>
      </c>
      <c r="BC11" s="1249">
        <v>62993.143264653874</v>
      </c>
      <c r="BD11" s="1248">
        <v>24141.425479199883</v>
      </c>
      <c r="BE11" s="1248">
        <v>0</v>
      </c>
      <c r="BF11" s="1248">
        <v>99867.785625739576</v>
      </c>
      <c r="BH11" s="1250">
        <v>0</v>
      </c>
      <c r="BI11" s="1250">
        <v>17826.503634640158</v>
      </c>
      <c r="BJ11" s="1250">
        <v>88190.400570515427</v>
      </c>
      <c r="BK11" s="1250">
        <v>33797.995670879835</v>
      </c>
      <c r="BL11" s="1250">
        <v>0</v>
      </c>
      <c r="BM11" s="1250">
        <v>139814.89987603543</v>
      </c>
      <c r="BO11" s="1251">
        <v>239682.68550177501</v>
      </c>
    </row>
    <row r="12" spans="1:67" x14ac:dyDescent="0.2">
      <c r="A12" s="1242" t="s">
        <v>15</v>
      </c>
      <c r="B12" s="1243">
        <v>2432</v>
      </c>
      <c r="C12" s="1085">
        <v>1227.599838056969</v>
      </c>
      <c r="D12" s="1085">
        <v>3819.9650645657475</v>
      </c>
      <c r="E12" s="1085">
        <v>7199.2163731032997</v>
      </c>
      <c r="F12" s="1085">
        <v>11587.884230015945</v>
      </c>
      <c r="G12" s="1085"/>
      <c r="I12" s="1196">
        <v>46</v>
      </c>
      <c r="K12" s="1227">
        <v>0</v>
      </c>
      <c r="L12" s="1200">
        <v>25</v>
      </c>
      <c r="M12" s="1200">
        <v>13</v>
      </c>
      <c r="N12" s="1228">
        <v>8</v>
      </c>
      <c r="P12" s="1086">
        <v>623434.01330461411</v>
      </c>
      <c r="Q12" s="1086">
        <v>460000</v>
      </c>
      <c r="R12" s="1086">
        <v>-1345.400161943031</v>
      </c>
      <c r="S12" s="1086">
        <v>1246.9650645657475</v>
      </c>
      <c r="T12" s="1086">
        <v>4626.2163731032997</v>
      </c>
      <c r="U12" s="1086">
        <v>9014.8842300159449</v>
      </c>
      <c r="V12" s="1244">
        <v>2573</v>
      </c>
      <c r="W12" s="1087"/>
      <c r="X12" s="1087"/>
      <c r="Y12" s="1088">
        <v>46</v>
      </c>
      <c r="Z12" s="1087">
        <v>191666.66666666669</v>
      </c>
      <c r="AA12" s="1088">
        <v>46</v>
      </c>
      <c r="AB12" s="1087">
        <v>268333.33333333337</v>
      </c>
      <c r="AC12" s="1089">
        <v>460000.00000000006</v>
      </c>
      <c r="AD12" s="1090">
        <v>281792.01330461411</v>
      </c>
      <c r="AE12" s="1091">
        <v>741792.01330461423</v>
      </c>
      <c r="AF12" s="1092"/>
      <c r="AG12" s="1093">
        <v>16125.913332709006</v>
      </c>
      <c r="AH12" s="1087">
        <v>741792.01330461423</v>
      </c>
      <c r="AI12" s="1094">
        <v>46</v>
      </c>
      <c r="AJ12" s="1092">
        <v>16125.913332709006</v>
      </c>
      <c r="AK12" s="1095"/>
      <c r="AM12" s="1246">
        <v>0</v>
      </c>
      <c r="AN12" s="1246">
        <v>25</v>
      </c>
      <c r="AO12" s="1246">
        <v>13</v>
      </c>
      <c r="AP12" s="1246">
        <v>8</v>
      </c>
      <c r="AQ12" s="1246">
        <v>0</v>
      </c>
      <c r="AR12" s="1205">
        <v>46</v>
      </c>
      <c r="AT12" s="1247">
        <v>0</v>
      </c>
      <c r="AU12" s="1247">
        <v>25</v>
      </c>
      <c r="AV12" s="1247">
        <v>13</v>
      </c>
      <c r="AW12" s="1247">
        <v>8</v>
      </c>
      <c r="AX12" s="1247">
        <v>0</v>
      </c>
      <c r="AY12" s="1207">
        <v>46</v>
      </c>
      <c r="BA12" s="1248">
        <v>0</v>
      </c>
      <c r="BB12" s="1249">
        <v>39791.302755893208</v>
      </c>
      <c r="BC12" s="1249">
        <v>38995.755354309535</v>
      </c>
      <c r="BD12" s="1248">
        <v>38626.280766719814</v>
      </c>
      <c r="BE12" s="1248">
        <v>0</v>
      </c>
      <c r="BF12" s="1248">
        <v>117413.33887692256</v>
      </c>
      <c r="BH12" s="1250">
        <v>0</v>
      </c>
      <c r="BI12" s="1250">
        <v>55707.823858250493</v>
      </c>
      <c r="BJ12" s="1250">
        <v>54594.057496033347</v>
      </c>
      <c r="BK12" s="1250">
        <v>54076.793073407738</v>
      </c>
      <c r="BL12" s="1250">
        <v>0</v>
      </c>
      <c r="BM12" s="1250">
        <v>164378.67442769156</v>
      </c>
      <c r="BO12" s="1251">
        <v>281792.01330461411</v>
      </c>
    </row>
    <row r="13" spans="1:67" x14ac:dyDescent="0.2">
      <c r="A13" s="1252" t="s">
        <v>1385</v>
      </c>
      <c r="B13" s="1243">
        <v>4181</v>
      </c>
      <c r="C13" s="1085">
        <v>2294.599838056969</v>
      </c>
      <c r="D13" s="1085">
        <v>4886.9650645657475</v>
      </c>
      <c r="E13" s="1085">
        <v>8266.2163731032997</v>
      </c>
      <c r="F13" s="1085">
        <v>12654.884230015945</v>
      </c>
      <c r="G13" s="1085"/>
      <c r="I13" s="1196">
        <v>12</v>
      </c>
      <c r="K13" s="1227">
        <v>12</v>
      </c>
      <c r="L13" s="1200">
        <v>0</v>
      </c>
      <c r="M13" s="1200">
        <v>0</v>
      </c>
      <c r="N13" s="1228">
        <v>0</v>
      </c>
      <c r="P13" s="1086">
        <v>103855.19805668363</v>
      </c>
      <c r="Q13" s="1086">
        <v>120000</v>
      </c>
      <c r="R13" s="1086">
        <v>-1345.400161943031</v>
      </c>
      <c r="S13" s="1086">
        <v>1246.9650645657475</v>
      </c>
      <c r="T13" s="1086">
        <v>4626.2163731032997</v>
      </c>
      <c r="U13" s="1086">
        <v>9014.8842300159449</v>
      </c>
      <c r="V13" s="1244"/>
      <c r="W13" s="1087">
        <v>3640</v>
      </c>
      <c r="X13" s="1087"/>
      <c r="Y13" s="1088">
        <v>12</v>
      </c>
      <c r="Z13" s="1087">
        <v>50000</v>
      </c>
      <c r="AA13" s="1088">
        <v>12</v>
      </c>
      <c r="AB13" s="1087">
        <v>70000</v>
      </c>
      <c r="AC13" s="1089">
        <v>120000</v>
      </c>
      <c r="AD13" s="1090">
        <v>27535.198056683628</v>
      </c>
      <c r="AE13" s="1091">
        <v>147535.19805668364</v>
      </c>
      <c r="AF13" s="1092"/>
      <c r="AG13" s="1093">
        <v>12294.599838056971</v>
      </c>
      <c r="AH13" s="1087">
        <v>188517.19751687354</v>
      </c>
      <c r="AI13" s="1094">
        <v>15.333333333333334</v>
      </c>
      <c r="AJ13" s="1092">
        <v>12294.599838056969</v>
      </c>
      <c r="AK13" s="1095"/>
      <c r="AM13" s="1246">
        <v>12</v>
      </c>
      <c r="AN13" s="1246">
        <v>0</v>
      </c>
      <c r="AO13" s="1246">
        <v>0</v>
      </c>
      <c r="AP13" s="1246">
        <v>0</v>
      </c>
      <c r="AQ13" s="1246">
        <v>0</v>
      </c>
      <c r="AR13" s="1205">
        <v>12</v>
      </c>
      <c r="AT13" s="1247">
        <v>12</v>
      </c>
      <c r="AU13" s="1247">
        <v>0</v>
      </c>
      <c r="AV13" s="1247">
        <v>0</v>
      </c>
      <c r="AW13" s="1247">
        <v>0</v>
      </c>
      <c r="AX13" s="1247">
        <v>0</v>
      </c>
      <c r="AY13" s="1207">
        <v>12</v>
      </c>
      <c r="BA13" s="1248">
        <v>11472.999190284845</v>
      </c>
      <c r="BB13" s="1249">
        <v>0</v>
      </c>
      <c r="BC13" s="1249">
        <v>0</v>
      </c>
      <c r="BD13" s="1248">
        <v>0</v>
      </c>
      <c r="BE13" s="1248">
        <v>0</v>
      </c>
      <c r="BF13" s="1248">
        <v>11472.999190284845</v>
      </c>
      <c r="BH13" s="1250">
        <v>16062.198866398783</v>
      </c>
      <c r="BI13" s="1250">
        <v>0</v>
      </c>
      <c r="BJ13" s="1250">
        <v>0</v>
      </c>
      <c r="BK13" s="1250">
        <v>0</v>
      </c>
      <c r="BL13" s="1250">
        <v>0</v>
      </c>
      <c r="BM13" s="1250">
        <v>16062.198866398783</v>
      </c>
      <c r="BO13" s="1251">
        <v>27535.198056683628</v>
      </c>
    </row>
    <row r="14" spans="1:67" x14ac:dyDescent="0.2">
      <c r="A14" s="1252" t="s">
        <v>1386</v>
      </c>
      <c r="B14" s="1243">
        <v>4181</v>
      </c>
      <c r="C14" s="1085">
        <v>2757.599838056969</v>
      </c>
      <c r="D14" s="1085">
        <v>5349.9650645657475</v>
      </c>
      <c r="E14" s="1085">
        <v>8729.2163731032997</v>
      </c>
      <c r="F14" s="1085">
        <v>13117.884230015945</v>
      </c>
      <c r="G14" s="1085"/>
      <c r="K14" s="1227"/>
      <c r="L14" s="1200"/>
      <c r="M14" s="1200"/>
      <c r="N14" s="1228"/>
      <c r="P14" s="1086"/>
      <c r="Q14" s="1086"/>
      <c r="R14" s="1086">
        <v>-1345.400161943031</v>
      </c>
      <c r="S14" s="1086">
        <v>1246.9650645657475</v>
      </c>
      <c r="T14" s="1086">
        <v>4626.2163731032997</v>
      </c>
      <c r="U14" s="1086">
        <v>9014.8842300159449</v>
      </c>
      <c r="V14" s="1244"/>
      <c r="W14" s="1087"/>
      <c r="X14" s="1087">
        <v>4103</v>
      </c>
      <c r="Y14" s="1088"/>
      <c r="Z14" s="1087">
        <v>0</v>
      </c>
      <c r="AA14" s="1088"/>
      <c r="AB14" s="1087">
        <v>0</v>
      </c>
      <c r="AC14" s="1089">
        <v>0</v>
      </c>
      <c r="AD14" s="1090">
        <v>0</v>
      </c>
      <c r="AE14" s="1091">
        <v>0</v>
      </c>
      <c r="AF14" s="1092"/>
      <c r="AG14" s="1093"/>
      <c r="AH14" s="1087">
        <v>0</v>
      </c>
      <c r="AI14" s="1094">
        <v>0</v>
      </c>
      <c r="AJ14" s="1092"/>
      <c r="AK14" s="1095"/>
      <c r="AM14" s="1205"/>
      <c r="AN14" s="1205"/>
      <c r="AO14" s="1205"/>
      <c r="AP14" s="1205"/>
      <c r="AQ14" s="1205"/>
      <c r="AR14" s="1205"/>
      <c r="AT14" s="1207"/>
      <c r="AU14" s="1207"/>
      <c r="AV14" s="1207"/>
      <c r="AW14" s="1207"/>
      <c r="AX14" s="1207"/>
      <c r="AY14" s="1207">
        <v>0</v>
      </c>
      <c r="BA14" s="1248">
        <v>0</v>
      </c>
      <c r="BB14" s="1249">
        <v>0</v>
      </c>
      <c r="BC14" s="1249">
        <v>0</v>
      </c>
      <c r="BD14" s="1248">
        <v>0</v>
      </c>
      <c r="BE14" s="1248">
        <v>0</v>
      </c>
      <c r="BF14" s="1248">
        <v>0</v>
      </c>
      <c r="BH14" s="1250">
        <v>0</v>
      </c>
      <c r="BI14" s="1250">
        <v>0</v>
      </c>
      <c r="BJ14" s="1250">
        <v>0</v>
      </c>
      <c r="BK14" s="1250">
        <v>0</v>
      </c>
      <c r="BL14" s="1250">
        <v>0</v>
      </c>
      <c r="BM14" s="1250">
        <v>0</v>
      </c>
      <c r="BO14" s="1251">
        <v>0</v>
      </c>
    </row>
    <row r="15" spans="1:67" x14ac:dyDescent="0.2">
      <c r="A15" s="1242" t="s">
        <v>38</v>
      </c>
      <c r="B15" s="1243">
        <v>2436</v>
      </c>
      <c r="C15" s="1085">
        <v>1227.599838056969</v>
      </c>
      <c r="D15" s="1085">
        <v>3819.9650645657475</v>
      </c>
      <c r="E15" s="1085">
        <v>7199.2163731032997</v>
      </c>
      <c r="F15" s="1085">
        <v>11587.884230015945</v>
      </c>
      <c r="G15" s="1085"/>
      <c r="I15" s="1196">
        <v>10</v>
      </c>
      <c r="K15" s="1227">
        <v>0</v>
      </c>
      <c r="L15" s="1200">
        <v>0</v>
      </c>
      <c r="M15" s="1200">
        <v>0</v>
      </c>
      <c r="N15" s="1228">
        <v>10</v>
      </c>
      <c r="P15" s="1086">
        <v>190148.84230015945</v>
      </c>
      <c r="Q15" s="1086">
        <v>100000</v>
      </c>
      <c r="R15" s="1086">
        <v>-1345.400161943031</v>
      </c>
      <c r="S15" s="1086">
        <v>1246.9650645657475</v>
      </c>
      <c r="T15" s="1086">
        <v>4626.2163731032997</v>
      </c>
      <c r="U15" s="1086">
        <v>9014.8842300159449</v>
      </c>
      <c r="V15" s="1244">
        <v>2573</v>
      </c>
      <c r="W15" s="1087"/>
      <c r="X15" s="1087"/>
      <c r="Y15" s="1088">
        <v>10</v>
      </c>
      <c r="Z15" s="1087">
        <v>41666.666666666672</v>
      </c>
      <c r="AA15" s="1088">
        <v>10</v>
      </c>
      <c r="AB15" s="1087">
        <v>58333.333333333343</v>
      </c>
      <c r="AC15" s="1089">
        <v>100000.00000000001</v>
      </c>
      <c r="AD15" s="1090">
        <v>115878.84230015943</v>
      </c>
      <c r="AE15" s="1091">
        <v>215878.84230015945</v>
      </c>
      <c r="AF15" s="1092"/>
      <c r="AG15" s="1093">
        <v>21587.884230015945</v>
      </c>
      <c r="AH15" s="1087">
        <v>233868.74582517275</v>
      </c>
      <c r="AI15" s="1094">
        <v>10.833333333333334</v>
      </c>
      <c r="AJ15" s="1092">
        <v>21587.884230015945</v>
      </c>
      <c r="AK15" s="1095"/>
      <c r="AM15" s="1246">
        <v>0</v>
      </c>
      <c r="AN15" s="1246">
        <v>0</v>
      </c>
      <c r="AO15" s="1246">
        <v>0</v>
      </c>
      <c r="AP15" s="1246">
        <v>10</v>
      </c>
      <c r="AQ15" s="1246">
        <v>0</v>
      </c>
      <c r="AR15" s="1205">
        <v>10</v>
      </c>
      <c r="AT15" s="1247">
        <v>0</v>
      </c>
      <c r="AU15" s="1247">
        <v>0</v>
      </c>
      <c r="AV15" s="1247">
        <v>0</v>
      </c>
      <c r="AW15" s="1247">
        <v>10</v>
      </c>
      <c r="AX15" s="1247">
        <v>0</v>
      </c>
      <c r="AY15" s="1207">
        <v>10</v>
      </c>
      <c r="BA15" s="1248">
        <v>0</v>
      </c>
      <c r="BB15" s="1249">
        <v>0</v>
      </c>
      <c r="BC15" s="1249">
        <v>0</v>
      </c>
      <c r="BD15" s="1248">
        <v>48282.850958399766</v>
      </c>
      <c r="BE15" s="1248">
        <v>0</v>
      </c>
      <c r="BF15" s="1248">
        <v>48282.850958399766</v>
      </c>
      <c r="BH15" s="1250">
        <v>0</v>
      </c>
      <c r="BI15" s="1250">
        <v>0</v>
      </c>
      <c r="BJ15" s="1250">
        <v>0</v>
      </c>
      <c r="BK15" s="1250">
        <v>67595.991341759669</v>
      </c>
      <c r="BL15" s="1250">
        <v>0</v>
      </c>
      <c r="BM15" s="1250">
        <v>67595.991341759669</v>
      </c>
      <c r="BO15" s="1251">
        <v>115878.84230015943</v>
      </c>
    </row>
    <row r="16" spans="1:67" x14ac:dyDescent="0.2">
      <c r="A16" s="1242" t="s">
        <v>53</v>
      </c>
      <c r="B16" s="1243">
        <v>2000</v>
      </c>
      <c r="C16" s="1085">
        <v>1227.599838056969</v>
      </c>
      <c r="D16" s="1085">
        <v>3819.9650645657475</v>
      </c>
      <c r="E16" s="1085">
        <v>7199.2163731032997</v>
      </c>
      <c r="F16" s="1085">
        <v>11587.884230015945</v>
      </c>
      <c r="G16" s="1085">
        <v>30603</v>
      </c>
      <c r="I16" s="1196">
        <v>28</v>
      </c>
      <c r="K16" s="1227">
        <v>0</v>
      </c>
      <c r="L16" s="1200">
        <v>10</v>
      </c>
      <c r="M16" s="1200">
        <v>10</v>
      </c>
      <c r="N16" s="1228">
        <v>8</v>
      </c>
      <c r="P16" s="1086">
        <v>410850.88821681798</v>
      </c>
      <c r="Q16" s="1086">
        <v>280000</v>
      </c>
      <c r="R16" s="1086">
        <v>-1345.400161943031</v>
      </c>
      <c r="S16" s="1086">
        <v>1246.9650645657475</v>
      </c>
      <c r="T16" s="1086">
        <v>4626.2163731032997</v>
      </c>
      <c r="U16" s="1086">
        <v>9014.8842300159449</v>
      </c>
      <c r="V16" s="1244">
        <v>2573</v>
      </c>
      <c r="W16" s="1087"/>
      <c r="X16" s="1087"/>
      <c r="Y16" s="1088">
        <v>27</v>
      </c>
      <c r="Z16" s="1087">
        <v>112500.00000000001</v>
      </c>
      <c r="AA16" s="1088">
        <v>27</v>
      </c>
      <c r="AB16" s="1087">
        <v>157500.00000000003</v>
      </c>
      <c r="AC16" s="1089">
        <v>270000.00000000006</v>
      </c>
      <c r="AD16" s="1090">
        <v>210322.11975678615</v>
      </c>
      <c r="AE16" s="1091">
        <v>480322.11975678621</v>
      </c>
      <c r="AF16" s="1092"/>
      <c r="AG16" s="1093">
        <v>17789.708139140232</v>
      </c>
      <c r="AH16" s="1087">
        <v>501910.00398680207</v>
      </c>
      <c r="AI16" s="1094">
        <v>28.000000000000004</v>
      </c>
      <c r="AJ16" s="1092">
        <v>17925.357285242928</v>
      </c>
      <c r="AK16" s="1095"/>
      <c r="AM16" s="1246">
        <v>0</v>
      </c>
      <c r="AN16" s="1246">
        <v>10</v>
      </c>
      <c r="AO16" s="1246">
        <v>10</v>
      </c>
      <c r="AP16" s="1246">
        <v>6</v>
      </c>
      <c r="AQ16" s="1246">
        <v>1</v>
      </c>
      <c r="AR16" s="1205">
        <v>27</v>
      </c>
      <c r="AT16" s="1247">
        <v>0</v>
      </c>
      <c r="AU16" s="1247">
        <v>10</v>
      </c>
      <c r="AV16" s="1247">
        <v>10</v>
      </c>
      <c r="AW16" s="1247">
        <v>6</v>
      </c>
      <c r="AX16" s="1247">
        <v>1</v>
      </c>
      <c r="AY16" s="1207">
        <v>27</v>
      </c>
      <c r="BA16" s="1248">
        <v>0</v>
      </c>
      <c r="BB16" s="1249">
        <v>15916.521102357281</v>
      </c>
      <c r="BC16" s="1249">
        <v>29996.734887930415</v>
      </c>
      <c r="BD16" s="1248">
        <v>28969.710575039862</v>
      </c>
      <c r="BE16" s="1248">
        <v>12751.25</v>
      </c>
      <c r="BF16" s="1248">
        <v>87634.216565327559</v>
      </c>
      <c r="BH16" s="1250">
        <v>0</v>
      </c>
      <c r="BI16" s="1250">
        <v>22283.129543300194</v>
      </c>
      <c r="BJ16" s="1250">
        <v>41995.428843102578</v>
      </c>
      <c r="BK16" s="1250">
        <v>40557.594805055807</v>
      </c>
      <c r="BL16" s="1250">
        <v>17851.75</v>
      </c>
      <c r="BM16" s="1250">
        <v>122687.90319145858</v>
      </c>
      <c r="BO16" s="1251">
        <v>210322.11975678615</v>
      </c>
    </row>
    <row r="17" spans="1:70" x14ac:dyDescent="0.2">
      <c r="A17" s="1252" t="s">
        <v>1387</v>
      </c>
      <c r="B17" s="1243">
        <v>4607</v>
      </c>
      <c r="C17" s="1085">
        <v>2294.599838056969</v>
      </c>
      <c r="D17" s="1085">
        <v>4886.9650645657475</v>
      </c>
      <c r="E17" s="1085">
        <v>8266.2163731032997</v>
      </c>
      <c r="F17" s="1085">
        <v>14154.884230015945</v>
      </c>
      <c r="G17" s="1085"/>
      <c r="I17" s="1196">
        <v>37</v>
      </c>
      <c r="K17" s="1227">
        <v>0</v>
      </c>
      <c r="L17" s="1200">
        <v>3</v>
      </c>
      <c r="M17" s="1200">
        <v>29</v>
      </c>
      <c r="N17" s="1228">
        <v>5</v>
      </c>
      <c r="P17" s="1086">
        <v>560475.59116377262</v>
      </c>
      <c r="Q17" s="1086">
        <v>370000</v>
      </c>
      <c r="R17" s="1086">
        <v>-1345.400161943031</v>
      </c>
      <c r="S17" s="1086">
        <v>1246.9650645657475</v>
      </c>
      <c r="T17" s="1086">
        <v>4626.2163731032997</v>
      </c>
      <c r="U17" s="1086">
        <v>10514.884230015945</v>
      </c>
      <c r="V17" s="1244"/>
      <c r="W17" s="1087">
        <v>3640</v>
      </c>
      <c r="X17" s="1087"/>
      <c r="Y17" s="1088"/>
      <c r="Z17" s="1087">
        <v>0</v>
      </c>
      <c r="AA17" s="1088"/>
      <c r="AB17" s="1087">
        <v>0</v>
      </c>
      <c r="AC17" s="1089">
        <v>0</v>
      </c>
      <c r="AD17" s="1090">
        <v>0</v>
      </c>
      <c r="AE17" s="1091">
        <v>0</v>
      </c>
      <c r="AF17" s="1092"/>
      <c r="AG17" s="1093"/>
      <c r="AH17" s="1087">
        <v>0</v>
      </c>
      <c r="AI17" s="1094">
        <v>0</v>
      </c>
      <c r="AJ17" s="1092"/>
      <c r="AK17" s="1095"/>
      <c r="AM17" s="1205"/>
      <c r="AN17" s="1205"/>
      <c r="AO17" s="1205"/>
      <c r="AP17" s="1205"/>
      <c r="AQ17" s="1205"/>
      <c r="AR17" s="1205"/>
      <c r="AT17" s="1207"/>
      <c r="AU17" s="1207"/>
      <c r="AV17" s="1207"/>
      <c r="AW17" s="1207"/>
      <c r="AX17" s="1207"/>
      <c r="AY17" s="1207">
        <v>0</v>
      </c>
      <c r="BA17" s="1248">
        <v>0</v>
      </c>
      <c r="BB17" s="1249">
        <v>0</v>
      </c>
      <c r="BC17" s="1249">
        <v>0</v>
      </c>
      <c r="BD17" s="1248">
        <v>0</v>
      </c>
      <c r="BE17" s="1248">
        <v>0</v>
      </c>
      <c r="BF17" s="1248">
        <v>0</v>
      </c>
      <c r="BH17" s="1250">
        <v>0</v>
      </c>
      <c r="BI17" s="1250">
        <v>0</v>
      </c>
      <c r="BJ17" s="1250">
        <v>0</v>
      </c>
      <c r="BK17" s="1250">
        <v>0</v>
      </c>
      <c r="BL17" s="1250">
        <v>0</v>
      </c>
      <c r="BM17" s="1250">
        <v>0</v>
      </c>
      <c r="BO17" s="1251">
        <v>0</v>
      </c>
    </row>
    <row r="18" spans="1:70" x14ac:dyDescent="0.2">
      <c r="A18" s="1252" t="s">
        <v>1388</v>
      </c>
      <c r="B18" s="1243">
        <v>4607</v>
      </c>
      <c r="C18" s="1085">
        <v>2757.599838056969</v>
      </c>
      <c r="D18" s="1085">
        <v>5349.9650645657475</v>
      </c>
      <c r="E18" s="1085">
        <v>8729.2163731032997</v>
      </c>
      <c r="F18" s="1085">
        <v>13117.884230015945</v>
      </c>
      <c r="G18" s="1085"/>
      <c r="K18" s="1227"/>
      <c r="L18" s="1200"/>
      <c r="M18" s="1200"/>
      <c r="N18" s="1228"/>
      <c r="P18" s="1086"/>
      <c r="Q18" s="1086"/>
      <c r="R18" s="1086">
        <v>-1345.400161943031</v>
      </c>
      <c r="S18" s="1086">
        <v>1246.9650645657475</v>
      </c>
      <c r="T18" s="1086">
        <v>4626.2163731032997</v>
      </c>
      <c r="U18" s="1086">
        <v>9014.8842300159449</v>
      </c>
      <c r="V18" s="1244"/>
      <c r="W18" s="1087"/>
      <c r="X18" s="1087">
        <v>4103</v>
      </c>
      <c r="Y18" s="1088">
        <v>37</v>
      </c>
      <c r="Z18" s="1087">
        <v>154166.66666666669</v>
      </c>
      <c r="AA18" s="1088">
        <v>37</v>
      </c>
      <c r="AB18" s="1087">
        <v>215833.33333333334</v>
      </c>
      <c r="AC18" s="1089">
        <v>370000</v>
      </c>
      <c r="AD18" s="1090">
        <v>334786.59116377262</v>
      </c>
      <c r="AE18" s="1091">
        <v>704786.59116377262</v>
      </c>
      <c r="AF18" s="1092"/>
      <c r="AG18" s="1093">
        <v>19048.28624766953</v>
      </c>
      <c r="AH18" s="1087">
        <v>704786.59116377262</v>
      </c>
      <c r="AI18" s="1094">
        <v>37</v>
      </c>
      <c r="AJ18" s="1092">
        <v>19048.28624766953</v>
      </c>
      <c r="AK18" s="1095"/>
      <c r="AM18" s="1246">
        <v>0</v>
      </c>
      <c r="AN18" s="1246">
        <v>3</v>
      </c>
      <c r="AO18" s="1246">
        <v>29</v>
      </c>
      <c r="AP18" s="1246">
        <v>5</v>
      </c>
      <c r="AQ18" s="1246">
        <v>0</v>
      </c>
      <c r="AR18" s="1205">
        <v>37</v>
      </c>
      <c r="AT18" s="1247">
        <v>0</v>
      </c>
      <c r="AU18" s="1247">
        <v>3</v>
      </c>
      <c r="AV18" s="1247">
        <v>29</v>
      </c>
      <c r="AW18" s="1247">
        <v>5</v>
      </c>
      <c r="AX18" s="1247">
        <v>0</v>
      </c>
      <c r="AY18" s="1207">
        <v>37</v>
      </c>
      <c r="BA18" s="1248">
        <v>0</v>
      </c>
      <c r="BB18" s="1249">
        <v>6687.456330707184</v>
      </c>
      <c r="BC18" s="1249">
        <v>105478.03117499819</v>
      </c>
      <c r="BD18" s="1248">
        <v>27328.925479199883</v>
      </c>
      <c r="BE18" s="1248">
        <v>0</v>
      </c>
      <c r="BF18" s="1248">
        <v>139494.41298490524</v>
      </c>
      <c r="BH18" s="1250">
        <v>0</v>
      </c>
      <c r="BI18" s="1250">
        <v>9362.4388629900586</v>
      </c>
      <c r="BJ18" s="1250">
        <v>147669.24364499748</v>
      </c>
      <c r="BK18" s="1250">
        <v>38260.495670879835</v>
      </c>
      <c r="BL18" s="1250">
        <v>0</v>
      </c>
      <c r="BM18" s="1250">
        <v>195292.17817886738</v>
      </c>
      <c r="BO18" s="1251">
        <v>334786.59116377262</v>
      </c>
    </row>
    <row r="19" spans="1:70" x14ac:dyDescent="0.2">
      <c r="A19" s="1252" t="s">
        <v>1389</v>
      </c>
      <c r="B19" s="1243">
        <v>5414</v>
      </c>
      <c r="C19" s="1085">
        <v>2294.599838056969</v>
      </c>
      <c r="D19" s="1085">
        <v>4886.9650645657475</v>
      </c>
      <c r="E19" s="1085">
        <v>8266.2163731032997</v>
      </c>
      <c r="F19" s="1085">
        <v>12654.884230015945</v>
      </c>
      <c r="G19" s="1085"/>
      <c r="K19" s="1227"/>
      <c r="L19" s="1200"/>
      <c r="M19" s="1200"/>
      <c r="N19" s="1228"/>
      <c r="P19" s="1086"/>
      <c r="Q19" s="1086"/>
      <c r="R19" s="1086">
        <v>-1345.400161943031</v>
      </c>
      <c r="S19" s="1086">
        <v>1246.9650645657475</v>
      </c>
      <c r="T19" s="1086">
        <v>4626.2163731032997</v>
      </c>
      <c r="U19" s="1086">
        <v>9014.8842300159449</v>
      </c>
      <c r="V19" s="1244"/>
      <c r="W19" s="1087">
        <v>3640</v>
      </c>
      <c r="X19" s="1087"/>
      <c r="Y19" s="1088">
        <v>0</v>
      </c>
      <c r="Z19" s="1087">
        <v>0</v>
      </c>
      <c r="AA19" s="1088">
        <v>0</v>
      </c>
      <c r="AB19" s="1087">
        <v>0</v>
      </c>
      <c r="AC19" s="1089">
        <v>0</v>
      </c>
      <c r="AD19" s="1090">
        <v>0</v>
      </c>
      <c r="AE19" s="1091">
        <v>0</v>
      </c>
      <c r="AF19" s="1092"/>
      <c r="AG19" s="1093"/>
      <c r="AH19" s="1087">
        <v>0</v>
      </c>
      <c r="AI19" s="1094">
        <v>0</v>
      </c>
      <c r="AJ19" s="1092"/>
      <c r="AK19" s="1095"/>
      <c r="AM19" s="1246"/>
      <c r="AN19" s="1246"/>
      <c r="AO19" s="1246"/>
      <c r="AP19" s="1246"/>
      <c r="AQ19" s="1246"/>
      <c r="AR19" s="1205"/>
      <c r="AT19" s="1247"/>
      <c r="AU19" s="1247"/>
      <c r="AV19" s="1247"/>
      <c r="AW19" s="1247"/>
      <c r="AX19" s="1247"/>
      <c r="AY19" s="1207">
        <v>0</v>
      </c>
      <c r="BA19" s="1248">
        <v>0</v>
      </c>
      <c r="BB19" s="1249">
        <v>0</v>
      </c>
      <c r="BC19" s="1249">
        <v>0</v>
      </c>
      <c r="BD19" s="1248">
        <v>0</v>
      </c>
      <c r="BE19" s="1248">
        <v>0</v>
      </c>
      <c r="BF19" s="1248">
        <v>0</v>
      </c>
      <c r="BH19" s="1250">
        <v>0</v>
      </c>
      <c r="BI19" s="1250">
        <v>0</v>
      </c>
      <c r="BJ19" s="1250">
        <v>0</v>
      </c>
      <c r="BK19" s="1250">
        <v>0</v>
      </c>
      <c r="BL19" s="1250">
        <v>0</v>
      </c>
      <c r="BM19" s="1250">
        <v>0</v>
      </c>
      <c r="BO19" s="1251">
        <v>0</v>
      </c>
    </row>
    <row r="20" spans="1:70" x14ac:dyDescent="0.2">
      <c r="A20" s="1252" t="s">
        <v>1390</v>
      </c>
      <c r="B20" s="1243">
        <v>5414</v>
      </c>
      <c r="C20" s="1085">
        <v>2757.599838056969</v>
      </c>
      <c r="D20" s="1085">
        <v>5349.9650645657475</v>
      </c>
      <c r="E20" s="1085">
        <v>8729.2163731032997</v>
      </c>
      <c r="F20" s="1085">
        <v>13117.884230015945</v>
      </c>
      <c r="G20" s="1085"/>
      <c r="I20" s="1196">
        <v>20</v>
      </c>
      <c r="K20" s="1227">
        <v>0</v>
      </c>
      <c r="L20" s="1200">
        <v>20</v>
      </c>
      <c r="M20" s="1200">
        <v>0</v>
      </c>
      <c r="N20" s="1228">
        <v>0</v>
      </c>
      <c r="P20" s="1086">
        <v>224939.30129131494</v>
      </c>
      <c r="Q20" s="1086">
        <v>200000</v>
      </c>
      <c r="R20" s="1086">
        <v>-1345.400161943031</v>
      </c>
      <c r="S20" s="1086">
        <v>1246.9650645657475</v>
      </c>
      <c r="T20" s="1086">
        <v>4626.2163731032997</v>
      </c>
      <c r="U20" s="1086">
        <v>9014.8842300159449</v>
      </c>
      <c r="V20" s="1244"/>
      <c r="W20" s="1087"/>
      <c r="X20" s="1087">
        <v>4103</v>
      </c>
      <c r="Y20" s="1088">
        <v>20</v>
      </c>
      <c r="Z20" s="1087">
        <v>83333.333333333343</v>
      </c>
      <c r="AA20" s="1088">
        <v>20</v>
      </c>
      <c r="AB20" s="1087">
        <v>116666.66666666669</v>
      </c>
      <c r="AC20" s="1089">
        <v>200000.00000000003</v>
      </c>
      <c r="AD20" s="1090">
        <v>106999.30129131494</v>
      </c>
      <c r="AE20" s="1091">
        <v>306999.301291315</v>
      </c>
      <c r="AF20" s="1092"/>
      <c r="AG20" s="1093">
        <v>15349.965064565749</v>
      </c>
      <c r="AH20" s="1087">
        <v>306999.301291315</v>
      </c>
      <c r="AI20" s="1094">
        <v>20</v>
      </c>
      <c r="AJ20" s="1092">
        <v>15349.965064565749</v>
      </c>
      <c r="AK20" s="1095"/>
      <c r="AM20" s="1246">
        <v>0</v>
      </c>
      <c r="AN20" s="1246">
        <v>20</v>
      </c>
      <c r="AO20" s="1246">
        <v>0</v>
      </c>
      <c r="AP20" s="1246">
        <v>0</v>
      </c>
      <c r="AQ20" s="1246">
        <v>0</v>
      </c>
      <c r="AR20" s="1205">
        <v>20</v>
      </c>
      <c r="AT20" s="1247">
        <v>0</v>
      </c>
      <c r="AU20" s="1247">
        <v>20</v>
      </c>
      <c r="AV20" s="1247">
        <v>0</v>
      </c>
      <c r="AW20" s="1247">
        <v>0</v>
      </c>
      <c r="AX20" s="1247">
        <v>0</v>
      </c>
      <c r="AY20" s="1207">
        <v>20</v>
      </c>
      <c r="BA20" s="1248">
        <v>0</v>
      </c>
      <c r="BB20" s="1249">
        <v>44583.042204714555</v>
      </c>
      <c r="BC20" s="1249">
        <v>0</v>
      </c>
      <c r="BD20" s="1248">
        <v>0</v>
      </c>
      <c r="BE20" s="1248">
        <v>0</v>
      </c>
      <c r="BF20" s="1248">
        <v>44583.042204714555</v>
      </c>
      <c r="BH20" s="1250">
        <v>0</v>
      </c>
      <c r="BI20" s="1250">
        <v>62416.259086600381</v>
      </c>
      <c r="BJ20" s="1250">
        <v>0</v>
      </c>
      <c r="BK20" s="1250">
        <v>0</v>
      </c>
      <c r="BL20" s="1250">
        <v>0</v>
      </c>
      <c r="BM20" s="1250">
        <v>62416.259086600381</v>
      </c>
      <c r="BO20" s="1251">
        <v>106999.30129131494</v>
      </c>
    </row>
    <row r="21" spans="1:70" x14ac:dyDescent="0.2">
      <c r="A21" s="1225"/>
      <c r="B21" s="1226"/>
      <c r="K21" s="1253"/>
      <c r="L21" s="1254"/>
      <c r="M21" s="1254"/>
      <c r="N21" s="1255"/>
      <c r="P21" s="1087"/>
      <c r="Q21" s="1086"/>
      <c r="R21" s="1086"/>
      <c r="S21" s="1086"/>
      <c r="T21" s="1086"/>
      <c r="U21" s="1086"/>
      <c r="V21" s="1244"/>
      <c r="W21" s="1087"/>
      <c r="X21" s="1087"/>
      <c r="Y21" s="1087"/>
      <c r="Z21" s="1087"/>
      <c r="AA21" s="1087"/>
      <c r="AB21" s="1087"/>
      <c r="AC21" s="1090"/>
      <c r="AD21" s="1090"/>
      <c r="AE21" s="1091">
        <v>0</v>
      </c>
      <c r="AF21" s="1092"/>
      <c r="AG21" s="1093"/>
      <c r="AH21" s="1087"/>
      <c r="AI21" s="1094"/>
      <c r="AJ21" s="1092"/>
      <c r="AK21" s="1095"/>
      <c r="AM21" s="1205"/>
      <c r="AN21" s="1205"/>
      <c r="AO21" s="1205"/>
      <c r="AP21" s="1205"/>
      <c r="AQ21" s="1205"/>
      <c r="AR21" s="1205"/>
      <c r="AT21" s="1207"/>
      <c r="AU21" s="1207"/>
      <c r="AV21" s="1207"/>
      <c r="AW21" s="1207"/>
      <c r="AX21" s="1207"/>
      <c r="AY21" s="1207">
        <v>0</v>
      </c>
      <c r="BA21" s="1205"/>
      <c r="BB21" s="1205"/>
      <c r="BC21" s="1205"/>
      <c r="BD21" s="1205"/>
      <c r="BE21" s="1205"/>
      <c r="BF21" s="1205"/>
      <c r="BH21" s="1207"/>
      <c r="BI21" s="1207"/>
      <c r="BJ21" s="1207"/>
      <c r="BK21" s="1207"/>
      <c r="BL21" s="1207"/>
      <c r="BM21" s="1207"/>
    </row>
    <row r="22" spans="1:70" ht="13.5" thickBot="1" x14ac:dyDescent="0.25">
      <c r="K22" s="1256"/>
      <c r="L22" s="1256"/>
      <c r="M22" s="1256"/>
      <c r="N22" s="1256"/>
      <c r="P22" s="1087"/>
      <c r="Q22" s="1086"/>
      <c r="R22" s="1086"/>
      <c r="S22" s="1086"/>
      <c r="T22" s="1086"/>
      <c r="U22" s="1086"/>
      <c r="V22" s="1244"/>
      <c r="W22" s="1087"/>
      <c r="X22" s="1087"/>
      <c r="Y22" s="1108">
        <v>250</v>
      </c>
      <c r="Z22" s="1109">
        <v>1041666.6666666666</v>
      </c>
      <c r="AA22" s="1110">
        <v>250</v>
      </c>
      <c r="AB22" s="1109">
        <v>1458333.3333333335</v>
      </c>
      <c r="AC22" s="1111">
        <v>2500000</v>
      </c>
      <c r="AD22" s="1112">
        <v>1659301.2373251587</v>
      </c>
      <c r="AE22" s="1113">
        <v>4159301.2373251589</v>
      </c>
      <c r="AF22" s="1114"/>
      <c r="AG22" s="1115"/>
      <c r="AH22" s="1109">
        <v>4216979.6473231809</v>
      </c>
      <c r="AI22" s="1116"/>
      <c r="AJ22" s="1114"/>
      <c r="AK22" s="1095"/>
      <c r="AM22" s="1205">
        <v>27</v>
      </c>
      <c r="AN22" s="1205">
        <v>93</v>
      </c>
      <c r="AO22" s="1205">
        <v>91</v>
      </c>
      <c r="AP22" s="1205">
        <v>38</v>
      </c>
      <c r="AQ22" s="1205">
        <v>1</v>
      </c>
      <c r="AR22" s="1205">
        <v>250</v>
      </c>
      <c r="AS22" s="1196">
        <v>0</v>
      </c>
      <c r="AT22" s="1207">
        <v>27</v>
      </c>
      <c r="AU22" s="1207">
        <v>93</v>
      </c>
      <c r="AV22" s="1207">
        <v>91</v>
      </c>
      <c r="AW22" s="1207">
        <v>38</v>
      </c>
      <c r="AX22" s="1207">
        <v>1</v>
      </c>
      <c r="AY22" s="1207">
        <v>250</v>
      </c>
      <c r="BA22" s="1257">
        <v>25814.248178140904</v>
      </c>
      <c r="BB22" s="1257">
        <v>170244.06291858936</v>
      </c>
      <c r="BC22" s="1257">
        <v>295903.62081350008</v>
      </c>
      <c r="BD22" s="1257">
        <v>186662.3336419191</v>
      </c>
      <c r="BE22" s="1257">
        <v>12751.25</v>
      </c>
      <c r="BF22" s="1257">
        <v>691375.51555214962</v>
      </c>
      <c r="BH22" s="1258">
        <v>36139.947449397267</v>
      </c>
      <c r="BI22" s="1258">
        <v>238341.68808602515</v>
      </c>
      <c r="BJ22" s="1258">
        <v>414265.06913890014</v>
      </c>
      <c r="BK22" s="1258">
        <v>261327.26709868677</v>
      </c>
      <c r="BL22" s="1258">
        <v>17851.75</v>
      </c>
      <c r="BM22" s="1258">
        <v>967925.72177300917</v>
      </c>
      <c r="BO22" s="1251">
        <v>1659301.2373251587</v>
      </c>
    </row>
    <row r="23" spans="1:70" x14ac:dyDescent="0.2">
      <c r="K23" s="1256"/>
      <c r="L23" s="1256"/>
      <c r="M23" s="1256"/>
      <c r="N23" s="1256"/>
      <c r="P23" s="1087"/>
      <c r="Q23" s="1086"/>
      <c r="R23" s="1086"/>
      <c r="S23" s="1086"/>
      <c r="T23" s="1086"/>
      <c r="U23" s="1086"/>
      <c r="V23" s="1244"/>
      <c r="W23" s="1087"/>
      <c r="X23" s="1087"/>
      <c r="Y23" s="1087"/>
      <c r="Z23" s="1087"/>
      <c r="AA23" s="1087"/>
      <c r="AB23" s="1087"/>
      <c r="AC23" s="1087"/>
      <c r="AD23" s="1087"/>
      <c r="AE23" s="1087"/>
      <c r="AF23" s="1087"/>
      <c r="AG23" s="1094"/>
      <c r="AH23" s="1087"/>
      <c r="AI23" s="1094"/>
      <c r="AJ23" s="1087"/>
      <c r="AK23" s="1087"/>
    </row>
    <row r="24" spans="1:70" x14ac:dyDescent="0.2">
      <c r="K24" s="1259"/>
      <c r="L24" s="1259"/>
      <c r="M24" s="1259"/>
      <c r="N24" s="1259"/>
      <c r="P24" s="1087"/>
      <c r="Q24" s="1086"/>
      <c r="R24" s="1086"/>
      <c r="S24" s="1086"/>
      <c r="T24" s="1086"/>
      <c r="U24" s="1086"/>
      <c r="V24" s="1244"/>
      <c r="W24" s="1087"/>
      <c r="X24" s="1087"/>
      <c r="Y24" s="1087"/>
      <c r="Z24" s="1087"/>
      <c r="AA24" s="1087"/>
      <c r="AB24" s="1087"/>
      <c r="AC24" s="1087"/>
      <c r="AD24" s="1087"/>
      <c r="AE24" s="1087"/>
      <c r="AF24" s="1087"/>
      <c r="AG24" s="1094"/>
      <c r="AH24" s="1087"/>
      <c r="AI24" s="1094"/>
      <c r="AJ24" s="1087"/>
      <c r="AK24" s="1087"/>
    </row>
    <row r="25" spans="1:70" x14ac:dyDescent="0.2">
      <c r="K25" s="1260"/>
      <c r="L25" s="1260"/>
      <c r="M25" s="1260"/>
      <c r="N25" s="1260"/>
      <c r="P25" s="1087"/>
      <c r="Q25" s="1086"/>
      <c r="R25" s="1086"/>
      <c r="S25" s="1086"/>
      <c r="T25" s="1086"/>
      <c r="U25" s="1086"/>
      <c r="V25" s="1244"/>
      <c r="W25" s="1087"/>
      <c r="X25" s="1087"/>
      <c r="Y25" s="1087"/>
      <c r="Z25" s="1087"/>
      <c r="AA25" s="1087"/>
      <c r="AB25" s="1087"/>
      <c r="AC25" s="1087"/>
      <c r="AD25" s="1087"/>
      <c r="AE25" s="1087"/>
      <c r="AF25" s="1087"/>
      <c r="AG25" s="1094"/>
      <c r="AH25" s="1087"/>
      <c r="AI25" s="1094"/>
      <c r="AJ25" s="1087"/>
      <c r="AK25" s="1087"/>
    </row>
    <row r="26" spans="1:70" x14ac:dyDescent="0.2">
      <c r="P26" s="1087"/>
      <c r="Q26" s="1086"/>
      <c r="R26" s="1086"/>
      <c r="S26" s="1086"/>
      <c r="T26" s="1086"/>
      <c r="U26" s="1086"/>
      <c r="V26" s="1244"/>
      <c r="W26" s="1087"/>
      <c r="X26" s="1087"/>
      <c r="Y26" s="1087"/>
      <c r="Z26" s="1087"/>
      <c r="AA26" s="1087"/>
      <c r="AB26" s="1087"/>
      <c r="AC26" s="1087"/>
      <c r="AD26" s="1087"/>
      <c r="AE26" s="1087"/>
      <c r="AF26" s="1087"/>
      <c r="AG26" s="1094"/>
      <c r="AH26" s="1087"/>
      <c r="AI26" s="1094"/>
      <c r="AJ26" s="1087"/>
      <c r="AK26" s="1087"/>
    </row>
    <row r="27" spans="1:70" x14ac:dyDescent="0.2">
      <c r="A27" s="1211" t="s">
        <v>1391</v>
      </c>
      <c r="B27" s="1212"/>
      <c r="C27" s="1212"/>
      <c r="D27" s="1212"/>
      <c r="E27" s="1212"/>
      <c r="F27" s="1212"/>
      <c r="G27" s="1212"/>
      <c r="K27" s="1214" t="s">
        <v>1366</v>
      </c>
      <c r="L27" s="1215"/>
      <c r="M27" s="1215"/>
      <c r="N27" s="1216"/>
      <c r="P27" s="1087"/>
      <c r="Q27" s="1086"/>
      <c r="R27" s="1086"/>
      <c r="S27" s="1086"/>
      <c r="T27" s="1086"/>
      <c r="U27" s="1086"/>
      <c r="V27" s="1244"/>
      <c r="W27" s="1087"/>
      <c r="X27" s="1087"/>
      <c r="Y27" s="1087"/>
      <c r="Z27" s="1087"/>
      <c r="AA27" s="1087"/>
      <c r="AB27" s="1087"/>
      <c r="AC27" s="1087"/>
      <c r="AD27" s="1087"/>
      <c r="AE27" s="1087"/>
      <c r="AF27" s="1087"/>
      <c r="AG27" s="1094"/>
      <c r="AH27" s="1087"/>
      <c r="AI27" s="1094"/>
      <c r="AJ27" s="1087"/>
      <c r="AK27" s="1087"/>
    </row>
    <row r="28" spans="1:70" x14ac:dyDescent="0.2">
      <c r="A28" s="1225"/>
      <c r="B28" s="1226"/>
      <c r="C28" s="1226"/>
      <c r="D28" s="1226"/>
      <c r="E28" s="1226"/>
      <c r="F28" s="1226"/>
      <c r="G28" s="1226"/>
      <c r="K28" s="1261" t="s">
        <v>1370</v>
      </c>
      <c r="L28" s="1262" t="s">
        <v>1371</v>
      </c>
      <c r="M28" s="1262" t="s">
        <v>1372</v>
      </c>
      <c r="N28" s="1263" t="s">
        <v>1373</v>
      </c>
      <c r="P28" s="1087"/>
      <c r="Q28" s="1086"/>
      <c r="R28" s="1086"/>
      <c r="S28" s="1086"/>
      <c r="T28" s="1086"/>
      <c r="U28" s="1086"/>
      <c r="V28" s="1244"/>
      <c r="W28" s="1087"/>
      <c r="X28" s="1087"/>
      <c r="Y28" s="1087"/>
      <c r="Z28" s="1087"/>
      <c r="AA28" s="1087"/>
      <c r="AB28" s="1087"/>
      <c r="AC28" s="1087"/>
      <c r="AD28" s="1087"/>
      <c r="AE28" s="1087"/>
      <c r="AF28" s="1087"/>
      <c r="AG28" s="1094"/>
      <c r="AH28" s="1087"/>
      <c r="AI28" s="1094"/>
      <c r="AJ28" s="1087"/>
      <c r="AK28" s="1087"/>
    </row>
    <row r="29" spans="1:70" x14ac:dyDescent="0.2">
      <c r="A29" s="1236"/>
      <c r="B29" s="1226"/>
      <c r="C29" s="1226"/>
      <c r="D29" s="1226"/>
      <c r="E29" s="1226"/>
      <c r="F29" s="1226"/>
      <c r="G29" s="1226"/>
      <c r="K29" s="1264"/>
      <c r="L29" s="1264"/>
      <c r="M29" s="1264"/>
      <c r="N29" s="1236"/>
      <c r="P29" s="1087"/>
      <c r="Q29" s="1086"/>
      <c r="R29" s="1086"/>
      <c r="S29" s="1086"/>
      <c r="T29" s="1086"/>
      <c r="U29" s="1086"/>
      <c r="V29" s="1244"/>
      <c r="W29" s="1087"/>
      <c r="X29" s="1087"/>
      <c r="Y29" s="1087"/>
      <c r="Z29" s="1087"/>
      <c r="AA29" s="1087"/>
      <c r="AB29" s="1087"/>
      <c r="AC29" s="1087"/>
      <c r="AD29" s="1087"/>
      <c r="AE29" s="1087"/>
      <c r="AF29" s="1087"/>
      <c r="AG29" s="1094"/>
      <c r="AH29" s="1087"/>
      <c r="AI29" s="1094"/>
      <c r="AJ29" s="1087"/>
      <c r="AK29" s="1087"/>
    </row>
    <row r="30" spans="1:70" x14ac:dyDescent="0.2">
      <c r="A30" s="1242" t="s">
        <v>1392</v>
      </c>
      <c r="B30" s="1243">
        <v>2405</v>
      </c>
      <c r="C30" s="1212">
        <v>1227.599838056969</v>
      </c>
      <c r="D30" s="1212">
        <v>3819.9650645657475</v>
      </c>
      <c r="E30" s="1212">
        <v>7199.2163731032997</v>
      </c>
      <c r="F30" s="1212">
        <v>11587.884230015945</v>
      </c>
      <c r="G30" s="1226"/>
      <c r="I30" s="1196">
        <v>6</v>
      </c>
      <c r="K30" s="1227">
        <v>0</v>
      </c>
      <c r="L30" s="1227">
        <v>0</v>
      </c>
      <c r="M30" s="1227">
        <v>3</v>
      </c>
      <c r="N30" s="1265">
        <v>3</v>
      </c>
      <c r="P30" s="1086">
        <v>100923.30180935774</v>
      </c>
      <c r="Q30" s="1086">
        <v>60000</v>
      </c>
      <c r="R30" s="1086">
        <v>-1345.400161943031</v>
      </c>
      <c r="S30" s="1086">
        <v>1246.9650645657475</v>
      </c>
      <c r="T30" s="1086">
        <v>4626.2163731032997</v>
      </c>
      <c r="U30" s="1086">
        <v>9014.8842300159449</v>
      </c>
      <c r="V30" s="1244">
        <v>2573</v>
      </c>
      <c r="W30" s="1087"/>
      <c r="X30" s="1087"/>
      <c r="Y30" s="1094">
        <v>6</v>
      </c>
      <c r="Z30" s="1087">
        <v>25000</v>
      </c>
      <c r="AA30" s="1094">
        <v>6</v>
      </c>
      <c r="AB30" s="1087">
        <v>35000</v>
      </c>
      <c r="AC30" s="1089">
        <v>60000</v>
      </c>
      <c r="AD30" s="1090">
        <v>56361.301809357734</v>
      </c>
      <c r="AE30" s="1091">
        <v>116361.30180935774</v>
      </c>
      <c r="AF30" s="1125"/>
      <c r="AG30" s="1093">
        <v>19393.550301559622</v>
      </c>
      <c r="AH30" s="1087">
        <v>116361.30180935774</v>
      </c>
      <c r="AI30" s="1093">
        <v>6</v>
      </c>
      <c r="AJ30" s="1087">
        <v>19393.550301559622</v>
      </c>
      <c r="AK30" s="1087"/>
      <c r="AM30" s="1246">
        <v>0</v>
      </c>
      <c r="AN30" s="1246">
        <v>0</v>
      </c>
      <c r="AO30" s="1246">
        <v>3</v>
      </c>
      <c r="AP30" s="1246">
        <v>3</v>
      </c>
      <c r="AQ30" s="1246">
        <v>0</v>
      </c>
      <c r="AR30" s="1205">
        <v>6</v>
      </c>
      <c r="AT30" s="1247">
        <v>0</v>
      </c>
      <c r="AU30" s="1247">
        <v>0</v>
      </c>
      <c r="AV30" s="1247">
        <v>3</v>
      </c>
      <c r="AW30" s="1247">
        <v>3</v>
      </c>
      <c r="AX30" s="1247">
        <v>0</v>
      </c>
      <c r="AY30" s="1207">
        <v>6</v>
      </c>
      <c r="BA30" s="1248">
        <v>0</v>
      </c>
      <c r="BB30" s="1249">
        <v>0</v>
      </c>
      <c r="BC30" s="1249">
        <v>8999.0204663791246</v>
      </c>
      <c r="BD30" s="1248">
        <v>14484.855287519931</v>
      </c>
      <c r="BE30" s="1248">
        <v>0</v>
      </c>
      <c r="BF30" s="1248">
        <v>23483.875753899054</v>
      </c>
      <c r="BH30" s="1250">
        <v>0</v>
      </c>
      <c r="BI30" s="1250">
        <v>0</v>
      </c>
      <c r="BJ30" s="1250">
        <v>12598.628652930774</v>
      </c>
      <c r="BK30" s="1250">
        <v>20278.797402527904</v>
      </c>
      <c r="BL30" s="1250">
        <v>0</v>
      </c>
      <c r="BM30" s="1250">
        <v>32877.42605545868</v>
      </c>
      <c r="BO30" s="1251">
        <v>56361.301809357734</v>
      </c>
      <c r="BR30" s="1198"/>
    </row>
    <row r="31" spans="1:70" x14ac:dyDescent="0.2">
      <c r="A31" s="1242" t="s">
        <v>1393</v>
      </c>
      <c r="B31" s="1243">
        <v>2434</v>
      </c>
      <c r="C31" s="1212">
        <v>1227.599838056969</v>
      </c>
      <c r="D31" s="1212">
        <v>3819.9650645657475</v>
      </c>
      <c r="E31" s="1212">
        <v>7199.2163731032997</v>
      </c>
      <c r="F31" s="1212">
        <v>11587.884230015945</v>
      </c>
      <c r="G31" s="1226"/>
      <c r="I31" s="1196">
        <v>12</v>
      </c>
      <c r="K31" s="1227">
        <v>0</v>
      </c>
      <c r="L31" s="1227">
        <v>0</v>
      </c>
      <c r="M31" s="1227">
        <v>9</v>
      </c>
      <c r="N31" s="1265">
        <v>3</v>
      </c>
      <c r="P31" s="1086">
        <v>188680.60004797752</v>
      </c>
      <c r="Q31" s="1086">
        <v>120000</v>
      </c>
      <c r="R31" s="1086">
        <v>-1345.400161943031</v>
      </c>
      <c r="S31" s="1086">
        <v>1246.9650645657475</v>
      </c>
      <c r="T31" s="1086">
        <v>4626.2163731032997</v>
      </c>
      <c r="U31" s="1086">
        <v>9014.8842300159449</v>
      </c>
      <c r="V31" s="1244">
        <v>2573</v>
      </c>
      <c r="W31" s="1087"/>
      <c r="X31" s="1087"/>
      <c r="Y31" s="1094">
        <v>12</v>
      </c>
      <c r="Z31" s="1087">
        <v>50000</v>
      </c>
      <c r="AA31" s="1094">
        <v>12</v>
      </c>
      <c r="AB31" s="1087">
        <v>70000</v>
      </c>
      <c r="AC31" s="1089">
        <v>120000</v>
      </c>
      <c r="AD31" s="1090">
        <v>99556.600047977525</v>
      </c>
      <c r="AE31" s="1091">
        <v>219556.60004797752</v>
      </c>
      <c r="AF31" s="1125"/>
      <c r="AG31" s="1093">
        <v>18296.383337331459</v>
      </c>
      <c r="AH31" s="1087">
        <v>219556.60004797752</v>
      </c>
      <c r="AI31" s="1093">
        <v>12</v>
      </c>
      <c r="AJ31" s="1087">
        <v>18296.383337331459</v>
      </c>
      <c r="AK31" s="1087"/>
      <c r="AM31" s="1246">
        <v>0</v>
      </c>
      <c r="AN31" s="1246">
        <v>0</v>
      </c>
      <c r="AO31" s="1246">
        <v>9</v>
      </c>
      <c r="AP31" s="1246">
        <v>3</v>
      </c>
      <c r="AQ31" s="1246">
        <v>0</v>
      </c>
      <c r="AR31" s="1205">
        <v>12</v>
      </c>
      <c r="AT31" s="1247">
        <v>0</v>
      </c>
      <c r="AU31" s="1247">
        <v>0</v>
      </c>
      <c r="AV31" s="1247">
        <v>9</v>
      </c>
      <c r="AW31" s="1247">
        <v>3</v>
      </c>
      <c r="AX31" s="1247">
        <v>0</v>
      </c>
      <c r="AY31" s="1207">
        <v>12</v>
      </c>
      <c r="BA31" s="1248">
        <v>0</v>
      </c>
      <c r="BB31" s="1249">
        <v>0</v>
      </c>
      <c r="BC31" s="1249">
        <v>26997.061399137376</v>
      </c>
      <c r="BD31" s="1248">
        <v>14484.855287519931</v>
      </c>
      <c r="BE31" s="1248">
        <v>0</v>
      </c>
      <c r="BF31" s="1248">
        <v>41481.916686657307</v>
      </c>
      <c r="BH31" s="1250">
        <v>0</v>
      </c>
      <c r="BI31" s="1250">
        <v>0</v>
      </c>
      <c r="BJ31" s="1250">
        <v>37795.885958792322</v>
      </c>
      <c r="BK31" s="1250">
        <v>20278.797402527904</v>
      </c>
      <c r="BL31" s="1250">
        <v>0</v>
      </c>
      <c r="BM31" s="1250">
        <v>58074.683361320225</v>
      </c>
      <c r="BO31" s="1251">
        <v>99556.600047977525</v>
      </c>
      <c r="BR31" s="1198"/>
    </row>
    <row r="32" spans="1:70" x14ac:dyDescent="0.2">
      <c r="A32" s="1225"/>
      <c r="B32" s="1226"/>
      <c r="C32" s="1226"/>
      <c r="D32" s="1226"/>
      <c r="E32" s="1226"/>
      <c r="F32" s="1226"/>
      <c r="G32" s="1226"/>
      <c r="K32" s="1266"/>
      <c r="L32" s="1266"/>
      <c r="M32" s="1266"/>
      <c r="N32" s="1225"/>
      <c r="Y32" s="1197"/>
      <c r="AA32" s="1197"/>
    </row>
    <row r="33" spans="1:37" ht="13.5" thickBot="1" x14ac:dyDescent="0.25">
      <c r="A33" s="1226"/>
      <c r="B33" s="1226"/>
      <c r="C33" s="1226"/>
      <c r="D33" s="1226"/>
      <c r="E33" s="1226"/>
      <c r="F33" s="1226"/>
      <c r="G33" s="1226"/>
      <c r="K33" s="1226"/>
      <c r="L33" s="1226"/>
      <c r="M33" s="1226"/>
      <c r="N33" s="1226"/>
      <c r="Y33" s="1267">
        <v>18</v>
      </c>
      <c r="Z33" s="1268">
        <v>75000</v>
      </c>
      <c r="AA33" s="1269">
        <v>18</v>
      </c>
      <c r="AB33" s="1268">
        <v>105000</v>
      </c>
      <c r="AC33" s="1270">
        <v>180000</v>
      </c>
      <c r="AD33" s="1270">
        <v>155917.90185733527</v>
      </c>
      <c r="AE33" s="1270">
        <v>335917.90185733524</v>
      </c>
      <c r="AF33" s="1268"/>
      <c r="AG33" s="1271"/>
      <c r="AH33" s="1268">
        <v>335917.90185733524</v>
      </c>
      <c r="AI33" s="1271"/>
      <c r="AJ33" s="1268">
        <v>37689.933638891082</v>
      </c>
      <c r="AK33" s="1272"/>
    </row>
    <row r="34" spans="1:37" x14ac:dyDescent="0.2">
      <c r="A34" s="1226"/>
      <c r="B34" s="1226"/>
      <c r="C34" s="1226"/>
      <c r="D34" s="1226"/>
      <c r="E34" s="1226"/>
      <c r="F34" s="1226"/>
      <c r="G34" s="1226"/>
      <c r="K34" s="1226"/>
      <c r="L34" s="1226"/>
      <c r="M34" s="1226"/>
      <c r="N34" s="1226"/>
      <c r="Y34" s="1267"/>
      <c r="Z34" s="1272"/>
      <c r="AA34" s="1267"/>
      <c r="AB34" s="1272"/>
      <c r="AC34" s="1273"/>
      <c r="AD34" s="1272"/>
      <c r="AE34" s="1272"/>
      <c r="AF34" s="1272"/>
      <c r="AH34" s="1272"/>
      <c r="AJ34" s="1272"/>
      <c r="AK34" s="1272"/>
    </row>
    <row r="35" spans="1:37" x14ac:dyDescent="0.2">
      <c r="A35" s="1226"/>
      <c r="B35" s="1226"/>
      <c r="C35" s="1226"/>
      <c r="D35" s="1226"/>
      <c r="E35" s="1226"/>
      <c r="F35" s="1226"/>
      <c r="G35" s="1226"/>
      <c r="K35" s="1226"/>
      <c r="L35" s="1226"/>
      <c r="M35" s="1226"/>
      <c r="N35" s="1226"/>
      <c r="Y35" s="1267"/>
      <c r="Z35" s="1272"/>
      <c r="AA35" s="1267"/>
      <c r="AB35" s="1272"/>
      <c r="AC35" s="1273"/>
      <c r="AD35" s="1272"/>
      <c r="AE35" s="1272"/>
      <c r="AF35" s="1272"/>
      <c r="AH35" s="1272">
        <v>4552897.549180516</v>
      </c>
      <c r="AJ35" s="1272"/>
      <c r="AK35" s="1272"/>
    </row>
    <row r="36" spans="1:37" x14ac:dyDescent="0.2">
      <c r="A36" s="1196" t="s">
        <v>1394</v>
      </c>
      <c r="I36" s="1274">
        <v>8654.599838056969</v>
      </c>
      <c r="K36" s="1275"/>
      <c r="Y36" s="1274">
        <v>8654.599838056969</v>
      </c>
      <c r="AA36" s="1276"/>
      <c r="AC36" s="1277">
        <v>2680000</v>
      </c>
      <c r="AD36" s="1277">
        <v>1815219.139182494</v>
      </c>
      <c r="AE36" s="1278">
        <v>4495219.139182494</v>
      </c>
    </row>
    <row r="37" spans="1:37" x14ac:dyDescent="0.2">
      <c r="A37" s="1196" t="s">
        <v>1371</v>
      </c>
      <c r="I37" s="1274">
        <v>11246.965064565748</v>
      </c>
      <c r="K37" s="1275"/>
      <c r="Y37" s="1274">
        <v>11246.965064565748</v>
      </c>
    </row>
    <row r="38" spans="1:37" x14ac:dyDescent="0.2">
      <c r="A38" s="1196" t="s">
        <v>1372</v>
      </c>
      <c r="I38" s="1274">
        <v>14626.2163731033</v>
      </c>
      <c r="K38" s="1275"/>
      <c r="Y38" s="1274">
        <v>14626.2163731033</v>
      </c>
    </row>
    <row r="39" spans="1:37" x14ac:dyDescent="0.2">
      <c r="A39" s="1196" t="s">
        <v>1373</v>
      </c>
      <c r="I39" s="1274">
        <v>19014.884230015945</v>
      </c>
      <c r="K39" s="1275"/>
      <c r="Y39" s="1274">
        <v>19014.884230015945</v>
      </c>
    </row>
    <row r="40" spans="1:37" x14ac:dyDescent="0.2">
      <c r="I40" s="1274"/>
      <c r="K40" s="1275"/>
      <c r="Y40" s="1279"/>
    </row>
    <row r="41" spans="1:37" x14ac:dyDescent="0.2">
      <c r="I41" s="1274"/>
      <c r="K41" s="1275"/>
      <c r="Y41" s="1279"/>
    </row>
  </sheetData>
  <sheetProtection password="EF5C" sheet="1" objects="1" scenarios="1"/>
  <mergeCells count="4">
    <mergeCell ref="R2:U2"/>
    <mergeCell ref="V2:X2"/>
    <mergeCell ref="Y4:Z4"/>
    <mergeCell ref="AA4:AB4"/>
  </mergeCells>
  <pageMargins left="0.70866141732283472" right="0.70866141732283472" top="0.74803149606299213" bottom="0.74803149606299213" header="0.31496062992125984" footer="0.31496062992125984"/>
  <pageSetup paperSize="8" scale="65" orientation="landscape" r:id="rId1"/>
  <headerFooter>
    <oddHeader>&amp;C&amp;Z&amp;F</oddHeader>
  </headerFooter>
  <colBreaks count="1" manualBreakCount="1">
    <brk id="3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52"/>
  <sheetViews>
    <sheetView topLeftCell="A2" zoomScaleNormal="100" zoomScaleSheetLayoutView="85" workbookViewId="0">
      <pane xSplit="1" ySplit="3" topLeftCell="B5" activePane="bottomRight" state="frozen"/>
      <selection activeCell="B3" sqref="B3:D3"/>
      <selection pane="topRight" activeCell="B3" sqref="B3:D3"/>
      <selection pane="bottomLeft" activeCell="B3" sqref="B3:D3"/>
      <selection pane="bottomRight" activeCell="B3" sqref="B3:D3"/>
    </sheetView>
  </sheetViews>
  <sheetFormatPr defaultRowHeight="12.75" x14ac:dyDescent="0.2"/>
  <cols>
    <col min="1" max="1" width="33" customWidth="1"/>
    <col min="2" max="2" width="9.140625" customWidth="1"/>
    <col min="3" max="7" width="9.5703125" customWidth="1"/>
    <col min="8" max="8" width="3.5703125" customWidth="1"/>
    <col min="9" max="9" width="17.28515625" hidden="1" customWidth="1"/>
    <col min="10" max="10" width="2.5703125" hidden="1" customWidth="1"/>
    <col min="11" max="11" width="17.28515625" hidden="1" customWidth="1"/>
    <col min="12" max="14" width="9.140625" hidden="1" customWidth="1"/>
    <col min="15" max="15" width="2.85546875" hidden="1" customWidth="1"/>
    <col min="16" max="17" width="18.140625" hidden="1" customWidth="1"/>
    <col min="18" max="21" width="18.7109375" hidden="1" customWidth="1"/>
    <col min="22" max="22" width="15.28515625" hidden="1" customWidth="1"/>
    <col min="23" max="24" width="10.28515625" hidden="1" customWidth="1"/>
    <col min="25" max="26" width="12.28515625" customWidth="1"/>
    <col min="27" max="27" width="10.28515625" customWidth="1"/>
    <col min="28" max="28" width="12.140625" bestFit="1" customWidth="1"/>
    <col min="29" max="29" width="13.28515625" bestFit="1" customWidth="1"/>
    <col min="30" max="32" width="12.28515625" customWidth="1"/>
    <col min="33" max="33" width="12.28515625" style="42" customWidth="1"/>
    <col min="34" max="34" width="12.5703125" customWidth="1"/>
    <col min="35" max="35" width="12.5703125" style="42" customWidth="1"/>
    <col min="36" max="37" width="10.28515625" customWidth="1"/>
    <col min="38" max="38" width="2" customWidth="1"/>
    <col min="45" max="45" width="2" customWidth="1"/>
    <col min="52" max="52" width="1.85546875" customWidth="1"/>
    <col min="54" max="54" width="11.28515625" bestFit="1" customWidth="1"/>
    <col min="55" max="55" width="12.28515625" bestFit="1" customWidth="1"/>
    <col min="56" max="56" width="9.7109375" bestFit="1" customWidth="1"/>
    <col min="57" max="57" width="9.7109375" customWidth="1"/>
    <col min="58" max="58" width="9.7109375" bestFit="1" customWidth="1"/>
    <col min="59" max="59" width="1.7109375" customWidth="1"/>
    <col min="61" max="63" width="9.7109375" bestFit="1" customWidth="1"/>
    <col min="64" max="64" width="9.7109375" customWidth="1"/>
    <col min="65" max="65" width="9.7109375" bestFit="1" customWidth="1"/>
    <col min="66" max="66" width="2.85546875" customWidth="1"/>
    <col min="67" max="67" width="11.28515625" style="22" bestFit="1" customWidth="1"/>
  </cols>
  <sheetData>
    <row r="1" spans="1:67" ht="18" x14ac:dyDescent="0.25">
      <c r="A1" s="1056" t="s">
        <v>1352</v>
      </c>
      <c r="B1" s="1056"/>
      <c r="C1" s="1056"/>
      <c r="D1" s="1056"/>
      <c r="E1" s="1056"/>
      <c r="F1" s="1056"/>
      <c r="G1" s="1056"/>
    </row>
    <row r="2" spans="1:67" x14ac:dyDescent="0.2">
      <c r="A2" t="s">
        <v>1353</v>
      </c>
      <c r="I2" t="s">
        <v>1354</v>
      </c>
      <c r="P2" t="s">
        <v>1355</v>
      </c>
      <c r="Q2" s="1057" t="s">
        <v>1356</v>
      </c>
      <c r="R2" s="1348" t="s">
        <v>1357</v>
      </c>
      <c r="S2" s="1349"/>
      <c r="T2" s="1349"/>
      <c r="U2" s="1350"/>
      <c r="V2" s="1348" t="s">
        <v>1358</v>
      </c>
      <c r="W2" s="1349"/>
      <c r="X2" s="1350"/>
      <c r="Y2" s="1058"/>
      <c r="Z2" s="1058"/>
      <c r="AA2" s="1058"/>
      <c r="AB2" s="1058"/>
      <c r="AC2" s="1058"/>
      <c r="AD2" s="1058"/>
      <c r="AE2" s="1058"/>
      <c r="AF2" s="1058"/>
      <c r="AG2" s="812"/>
      <c r="AH2" s="1058"/>
      <c r="AI2" s="812"/>
      <c r="AJ2" s="1058"/>
      <c r="AK2" s="1058"/>
    </row>
    <row r="3" spans="1:67" x14ac:dyDescent="0.2">
      <c r="AE3" s="826"/>
      <c r="AK3" s="751"/>
      <c r="AM3" s="1059" t="s">
        <v>1359</v>
      </c>
      <c r="AN3" s="1060"/>
      <c r="AO3" s="1060"/>
      <c r="AP3" s="1060"/>
      <c r="AQ3" s="1060"/>
      <c r="AR3" s="1060"/>
      <c r="AT3" s="1061" t="s">
        <v>1360</v>
      </c>
      <c r="AU3" s="1062"/>
      <c r="AV3" s="1062"/>
      <c r="AW3" s="1062"/>
      <c r="AX3" s="1062"/>
      <c r="AY3" s="1062"/>
      <c r="BA3" s="1063" t="s">
        <v>1361</v>
      </c>
      <c r="BB3" s="1060"/>
      <c r="BC3" s="1060"/>
      <c r="BD3" s="1060"/>
      <c r="BE3" s="1060"/>
      <c r="BF3" s="1060"/>
      <c r="BH3" s="1064" t="s">
        <v>1362</v>
      </c>
      <c r="BI3" s="1062"/>
      <c r="BJ3" s="1062"/>
      <c r="BK3" s="1062"/>
      <c r="BL3" s="1062"/>
      <c r="BM3" s="1062"/>
      <c r="BO3" s="15" t="s">
        <v>1363</v>
      </c>
    </row>
    <row r="4" spans="1:67" x14ac:dyDescent="0.2">
      <c r="A4" s="151" t="s">
        <v>1364</v>
      </c>
      <c r="B4" s="28"/>
      <c r="C4" s="1065" t="s">
        <v>1365</v>
      </c>
      <c r="D4" s="1065"/>
      <c r="E4" s="1065"/>
      <c r="F4" s="1065"/>
      <c r="G4" s="1065"/>
      <c r="K4" s="1066" t="s">
        <v>1366</v>
      </c>
      <c r="L4" s="1067"/>
      <c r="M4" s="1067"/>
      <c r="N4" s="8"/>
      <c r="V4" t="s">
        <v>1367</v>
      </c>
      <c r="W4" t="s">
        <v>168</v>
      </c>
      <c r="X4" t="s">
        <v>167</v>
      </c>
      <c r="Y4" s="1351" t="s">
        <v>1368</v>
      </c>
      <c r="Z4" s="1351"/>
      <c r="AA4" s="1351" t="s">
        <v>1369</v>
      </c>
      <c r="AB4" s="1351"/>
      <c r="AE4" s="825" t="s">
        <v>1014</v>
      </c>
      <c r="AF4" s="741"/>
      <c r="AG4" s="755"/>
      <c r="AH4" s="741" t="s">
        <v>773</v>
      </c>
      <c r="AI4" s="755"/>
      <c r="AJ4" s="3"/>
      <c r="AK4" s="1068"/>
      <c r="AM4" s="1069" t="s">
        <v>1370</v>
      </c>
      <c r="AN4" s="1069" t="s">
        <v>1371</v>
      </c>
      <c r="AO4" s="1069" t="s">
        <v>1372</v>
      </c>
      <c r="AP4" s="1069" t="s">
        <v>1373</v>
      </c>
      <c r="AQ4" s="1069" t="s">
        <v>1374</v>
      </c>
      <c r="AR4" s="1069" t="s">
        <v>633</v>
      </c>
      <c r="AT4" s="1070" t="s">
        <v>1370</v>
      </c>
      <c r="AU4" s="1070" t="s">
        <v>1371</v>
      </c>
      <c r="AV4" s="1070" t="s">
        <v>1372</v>
      </c>
      <c r="AW4" s="1070" t="s">
        <v>1373</v>
      </c>
      <c r="AX4" s="1070" t="s">
        <v>1374</v>
      </c>
      <c r="AY4" s="1070" t="s">
        <v>633</v>
      </c>
      <c r="BA4" s="1069" t="s">
        <v>1370</v>
      </c>
      <c r="BB4" s="1069" t="s">
        <v>1371</v>
      </c>
      <c r="BC4" s="1069" t="s">
        <v>1372</v>
      </c>
      <c r="BD4" s="1069" t="s">
        <v>1373</v>
      </c>
      <c r="BE4" s="1069" t="s">
        <v>1374</v>
      </c>
      <c r="BF4" s="1069" t="s">
        <v>633</v>
      </c>
      <c r="BH4" s="1070" t="s">
        <v>1370</v>
      </c>
      <c r="BI4" s="1070" t="s">
        <v>1371</v>
      </c>
      <c r="BJ4" s="1070" t="s">
        <v>1372</v>
      </c>
      <c r="BK4" s="1070" t="s">
        <v>1373</v>
      </c>
      <c r="BL4" s="1070" t="s">
        <v>1374</v>
      </c>
      <c r="BM4" s="1070" t="s">
        <v>633</v>
      </c>
      <c r="BO4" s="131"/>
    </row>
    <row r="5" spans="1:67" ht="51" x14ac:dyDescent="0.2">
      <c r="A5" s="1071"/>
      <c r="B5" s="813" t="s">
        <v>1406</v>
      </c>
      <c r="C5" s="3"/>
      <c r="D5" s="3"/>
      <c r="E5" s="3"/>
      <c r="F5" s="3"/>
      <c r="G5" s="3"/>
      <c r="K5" s="1072" t="s">
        <v>1370</v>
      </c>
      <c r="L5" s="1058" t="s">
        <v>1371</v>
      </c>
      <c r="M5" s="1058" t="s">
        <v>1372</v>
      </c>
      <c r="N5" s="1073" t="s">
        <v>1373</v>
      </c>
      <c r="R5" s="1058" t="s">
        <v>1370</v>
      </c>
      <c r="S5" s="1058" t="s">
        <v>1371</v>
      </c>
      <c r="T5" s="1058" t="s">
        <v>1372</v>
      </c>
      <c r="U5" s="1058" t="s">
        <v>1373</v>
      </c>
      <c r="Y5" t="s">
        <v>1375</v>
      </c>
      <c r="Z5" s="741" t="s">
        <v>1376</v>
      </c>
      <c r="AA5" t="s">
        <v>1375</v>
      </c>
      <c r="AB5" t="s">
        <v>1376</v>
      </c>
      <c r="AC5" s="1074" t="s">
        <v>1376</v>
      </c>
      <c r="AD5" s="1074" t="s">
        <v>1377</v>
      </c>
      <c r="AE5" s="1075" t="s">
        <v>633</v>
      </c>
      <c r="AF5" s="1076"/>
      <c r="AG5" s="1077" t="s">
        <v>1378</v>
      </c>
      <c r="AH5" s="17" t="s">
        <v>1379</v>
      </c>
      <c r="AI5" s="143" t="s">
        <v>1380</v>
      </c>
      <c r="AJ5" s="699" t="s">
        <v>1381</v>
      </c>
      <c r="AK5" s="1068"/>
      <c r="AM5" s="1060"/>
      <c r="AN5" s="1060"/>
      <c r="AO5" s="1060"/>
      <c r="AP5" s="1060"/>
      <c r="AQ5" s="1060"/>
      <c r="AR5" s="1060"/>
      <c r="AT5" s="1062"/>
      <c r="AU5" s="1062"/>
      <c r="AV5" s="1062"/>
      <c r="AW5" s="1062"/>
      <c r="AX5" s="1062"/>
      <c r="AY5" s="1062"/>
      <c r="BA5" s="1060"/>
      <c r="BB5" s="1060"/>
      <c r="BC5" s="1060"/>
      <c r="BD5" s="1060"/>
      <c r="BE5" s="1060"/>
      <c r="BF5" s="1060"/>
      <c r="BH5" s="1062"/>
      <c r="BI5" s="1062"/>
      <c r="BJ5" s="1062"/>
      <c r="BK5" s="1062"/>
      <c r="BL5" s="1062"/>
      <c r="BM5" s="1062"/>
    </row>
    <row r="6" spans="1:67" x14ac:dyDescent="0.2">
      <c r="A6" s="1078"/>
      <c r="B6" s="1152"/>
      <c r="C6" s="3">
        <v>2</v>
      </c>
      <c r="D6" s="3">
        <v>3</v>
      </c>
      <c r="E6" s="3">
        <v>4</v>
      </c>
      <c r="F6" s="3">
        <v>5</v>
      </c>
      <c r="G6" s="3">
        <v>6</v>
      </c>
      <c r="K6" s="1079"/>
      <c r="L6" s="1080"/>
      <c r="M6" s="1080"/>
      <c r="N6" s="1081"/>
      <c r="Z6" s="755" t="s">
        <v>1382</v>
      </c>
      <c r="AB6" s="741" t="s">
        <v>1382</v>
      </c>
      <c r="AC6" s="1074"/>
      <c r="AD6" s="1082"/>
      <c r="AE6" s="1075" t="s">
        <v>790</v>
      </c>
      <c r="AF6" s="1076"/>
      <c r="AG6" s="1083"/>
      <c r="AJ6" s="3"/>
      <c r="AK6" s="1068"/>
      <c r="AM6" s="1060"/>
      <c r="AN6" s="1060"/>
      <c r="AO6" s="1060"/>
      <c r="AP6" s="1060"/>
      <c r="AQ6" s="1060"/>
      <c r="AR6" s="1060"/>
      <c r="AT6" s="1062"/>
      <c r="AU6" s="1062"/>
      <c r="AV6" s="1062"/>
      <c r="AW6" s="1062"/>
      <c r="AX6" s="1062"/>
      <c r="AY6" s="1062"/>
      <c r="BA6" s="1060"/>
      <c r="BB6" s="1060"/>
      <c r="BC6" s="1060"/>
      <c r="BD6" s="1060"/>
      <c r="BE6" s="1060"/>
      <c r="BF6" s="1060"/>
      <c r="BH6" s="1062"/>
      <c r="BI6" s="1062"/>
      <c r="BJ6" s="1062"/>
      <c r="BK6" s="1062"/>
      <c r="BL6" s="1062"/>
      <c r="BM6" s="1062"/>
    </row>
    <row r="7" spans="1:67" x14ac:dyDescent="0.2">
      <c r="A7" s="1084" t="s">
        <v>312</v>
      </c>
      <c r="B7" s="1152">
        <v>2442</v>
      </c>
      <c r="C7" s="1085">
        <v>1227.599838056969</v>
      </c>
      <c r="D7" s="1085">
        <v>3819.9650645657475</v>
      </c>
      <c r="E7" s="1085">
        <v>7199.2163731032997</v>
      </c>
      <c r="F7" s="1085">
        <v>11587.884230015945</v>
      </c>
      <c r="G7" s="1085"/>
      <c r="I7">
        <v>14</v>
      </c>
      <c r="K7" s="1072">
        <v>0</v>
      </c>
      <c r="L7" s="1058">
        <v>6</v>
      </c>
      <c r="M7" s="1058">
        <v>8</v>
      </c>
      <c r="N7" s="1073">
        <v>0</v>
      </c>
      <c r="P7" s="1086">
        <v>184491.52137222089</v>
      </c>
      <c r="Q7" s="1086">
        <v>140000</v>
      </c>
      <c r="R7" s="1086">
        <v>-1345.400161943031</v>
      </c>
      <c r="S7" s="1086">
        <v>1246.9650645657475</v>
      </c>
      <c r="T7" s="1086">
        <v>4626.2163731032997</v>
      </c>
      <c r="U7" s="1086">
        <v>9014.8842300159449</v>
      </c>
      <c r="V7" s="140">
        <v>2573</v>
      </c>
      <c r="W7" s="1087"/>
      <c r="X7" s="1087"/>
      <c r="Y7" s="1088">
        <v>12</v>
      </c>
      <c r="Z7" s="1087">
        <v>50000</v>
      </c>
      <c r="AA7" s="1088">
        <v>12</v>
      </c>
      <c r="AB7" s="1087">
        <v>70000</v>
      </c>
      <c r="AC7" s="1089">
        <v>120000</v>
      </c>
      <c r="AD7" s="1090">
        <v>54214.479676288844</v>
      </c>
      <c r="AE7" s="1091">
        <v>174214.47967628884</v>
      </c>
      <c r="AF7" s="1092"/>
      <c r="AG7" s="1093">
        <v>14517.873306357404</v>
      </c>
      <c r="AH7" s="1087">
        <v>220513.52137222089</v>
      </c>
      <c r="AI7" s="1094">
        <v>14.000000000000002</v>
      </c>
      <c r="AJ7" s="1092">
        <v>15750.965812301491</v>
      </c>
      <c r="AK7" s="1095"/>
      <c r="AL7" s="1096"/>
      <c r="AM7" s="1097">
        <v>0</v>
      </c>
      <c r="AN7" s="1097">
        <v>1</v>
      </c>
      <c r="AO7" s="1097">
        <v>7</v>
      </c>
      <c r="AP7" s="1097">
        <v>0</v>
      </c>
      <c r="AQ7" s="1097">
        <v>0</v>
      </c>
      <c r="AR7" s="1060">
        <v>8</v>
      </c>
      <c r="AT7" s="1098">
        <v>0</v>
      </c>
      <c r="AU7" s="1098">
        <v>1</v>
      </c>
      <c r="AV7" s="1098">
        <v>7</v>
      </c>
      <c r="AW7" s="1098">
        <v>0</v>
      </c>
      <c r="AX7" s="1098">
        <v>0</v>
      </c>
      <c r="AY7" s="1062">
        <v>8</v>
      </c>
      <c r="BA7" s="1099">
        <v>0</v>
      </c>
      <c r="BB7" s="1100">
        <v>1591.6521102357283</v>
      </c>
      <c r="BC7" s="1100">
        <v>20997.714421551289</v>
      </c>
      <c r="BD7" s="1099">
        <v>0</v>
      </c>
      <c r="BE7" s="1099">
        <v>0</v>
      </c>
      <c r="BF7" s="1099">
        <v>22589.366531787018</v>
      </c>
      <c r="BH7" s="1101">
        <v>0</v>
      </c>
      <c r="BI7" s="1101">
        <v>2228.3129543300197</v>
      </c>
      <c r="BJ7" s="1101">
        <v>29396.800190171809</v>
      </c>
      <c r="BK7" s="1101">
        <v>0</v>
      </c>
      <c r="BL7" s="1101">
        <v>0</v>
      </c>
      <c r="BM7" s="1101">
        <v>31625.113144501829</v>
      </c>
      <c r="BO7" s="1102">
        <v>54214.479676288844</v>
      </c>
    </row>
    <row r="8" spans="1:67" x14ac:dyDescent="0.2">
      <c r="A8" s="1084" t="s">
        <v>6</v>
      </c>
      <c r="B8" s="1152">
        <v>2629</v>
      </c>
      <c r="C8" s="1085">
        <v>1227.599838056969</v>
      </c>
      <c r="D8" s="1085">
        <v>3819.9650645657475</v>
      </c>
      <c r="E8" s="1085">
        <v>7199.2163731032997</v>
      </c>
      <c r="F8" s="1085">
        <v>11587.884230015945</v>
      </c>
      <c r="G8" s="1085"/>
      <c r="I8">
        <v>10</v>
      </c>
      <c r="K8" s="1072">
        <v>0</v>
      </c>
      <c r="L8" s="1058">
        <v>5</v>
      </c>
      <c r="M8" s="1058">
        <v>1</v>
      </c>
      <c r="N8" s="1073">
        <v>4</v>
      </c>
      <c r="P8" s="1086">
        <v>146920.57861599582</v>
      </c>
      <c r="Q8" s="1086">
        <v>100000</v>
      </c>
      <c r="R8" s="1086">
        <v>-1345.400161943031</v>
      </c>
      <c r="S8" s="1086">
        <v>1246.9650645657475</v>
      </c>
      <c r="T8" s="1086">
        <v>4626.2163731032997</v>
      </c>
      <c r="U8" s="1086">
        <v>9014.8842300159449</v>
      </c>
      <c r="V8" s="140">
        <v>2573</v>
      </c>
      <c r="W8" s="1087"/>
      <c r="X8" s="1087"/>
      <c r="Y8" s="1088">
        <v>10</v>
      </c>
      <c r="Z8" s="1087">
        <v>41666.666666666672</v>
      </c>
      <c r="AA8" s="1088">
        <v>10</v>
      </c>
      <c r="AB8" s="1087">
        <v>58333.333333333343</v>
      </c>
      <c r="AC8" s="1089">
        <v>100000.00000000001</v>
      </c>
      <c r="AD8" s="1090">
        <v>34763.652690047835</v>
      </c>
      <c r="AE8" s="1091">
        <v>134763.65269004786</v>
      </c>
      <c r="AF8" s="1092"/>
      <c r="AG8" s="1093">
        <v>13476.365269004786</v>
      </c>
      <c r="AH8" s="1087">
        <v>172650.57861599582</v>
      </c>
      <c r="AI8" s="1094">
        <v>10</v>
      </c>
      <c r="AJ8" s="1092">
        <v>17265.057861599584</v>
      </c>
      <c r="AK8" s="1095"/>
      <c r="AM8" s="1097">
        <v>0</v>
      </c>
      <c r="AN8" s="1097">
        <v>0</v>
      </c>
      <c r="AO8" s="1097">
        <v>0</v>
      </c>
      <c r="AP8" s="1097">
        <v>3</v>
      </c>
      <c r="AQ8" s="1097">
        <v>0</v>
      </c>
      <c r="AR8" s="1060">
        <v>3</v>
      </c>
      <c r="AT8" s="1098">
        <v>0</v>
      </c>
      <c r="AU8" s="1098">
        <v>0</v>
      </c>
      <c r="AV8" s="1098">
        <v>0</v>
      </c>
      <c r="AW8" s="1098">
        <v>3</v>
      </c>
      <c r="AX8" s="1098">
        <v>0</v>
      </c>
      <c r="AY8" s="1062">
        <v>3</v>
      </c>
      <c r="BA8" s="1099">
        <v>0</v>
      </c>
      <c r="BB8" s="1100">
        <v>0</v>
      </c>
      <c r="BC8" s="1100">
        <v>0</v>
      </c>
      <c r="BD8" s="1099">
        <v>14484.855287519931</v>
      </c>
      <c r="BE8" s="1099">
        <v>0</v>
      </c>
      <c r="BF8" s="1099">
        <v>14484.855287519931</v>
      </c>
      <c r="BH8" s="1101">
        <v>0</v>
      </c>
      <c r="BI8" s="1101">
        <v>0</v>
      </c>
      <c r="BJ8" s="1101">
        <v>0</v>
      </c>
      <c r="BK8" s="1101">
        <v>20278.797402527904</v>
      </c>
      <c r="BL8" s="1101">
        <v>0</v>
      </c>
      <c r="BM8" s="1101">
        <v>20278.797402527904</v>
      </c>
      <c r="BO8" s="1102">
        <v>34763.652690047835</v>
      </c>
    </row>
    <row r="9" spans="1:67" x14ac:dyDescent="0.2">
      <c r="A9" s="1103" t="s">
        <v>1383</v>
      </c>
      <c r="B9" s="1152">
        <v>4177</v>
      </c>
      <c r="C9" s="1085">
        <v>2294.599838056969</v>
      </c>
      <c r="D9" s="1085">
        <v>4886.9650645657475</v>
      </c>
      <c r="E9" s="1085">
        <v>8266.2163731032997</v>
      </c>
      <c r="F9" s="1085">
        <v>12654.884230015945</v>
      </c>
      <c r="G9" s="1085"/>
      <c r="I9">
        <v>38</v>
      </c>
      <c r="K9" s="1072">
        <v>15</v>
      </c>
      <c r="L9" s="1058">
        <v>15</v>
      </c>
      <c r="M9" s="1058">
        <v>8</v>
      </c>
      <c r="N9" s="1073">
        <v>0</v>
      </c>
      <c r="P9" s="1086">
        <v>415533.20452416717</v>
      </c>
      <c r="Q9" s="1086">
        <v>380000</v>
      </c>
      <c r="R9" s="1086">
        <v>-1345.400161943031</v>
      </c>
      <c r="S9" s="1086">
        <v>1246.9650645657475</v>
      </c>
      <c r="T9" s="1086">
        <v>4626.2163731032997</v>
      </c>
      <c r="U9" s="1086">
        <v>9014.8842300159449</v>
      </c>
      <c r="V9" s="140"/>
      <c r="W9" s="1087">
        <v>3640</v>
      </c>
      <c r="X9" s="1087"/>
      <c r="Y9" s="1088">
        <v>42</v>
      </c>
      <c r="Z9" s="1087">
        <v>175000</v>
      </c>
      <c r="AA9" s="1088">
        <v>42</v>
      </c>
      <c r="AB9" s="1087">
        <v>245000.00000000003</v>
      </c>
      <c r="AC9" s="1089">
        <v>420000</v>
      </c>
      <c r="AD9" s="1090">
        <v>166671.63962154443</v>
      </c>
      <c r="AE9" s="1091">
        <v>586671.6396215444</v>
      </c>
      <c r="AF9" s="1092"/>
      <c r="AG9" s="1093">
        <v>13968.372371941534</v>
      </c>
      <c r="AH9" s="1087">
        <v>566259.00874463865</v>
      </c>
      <c r="AI9" s="1094">
        <v>38.833333333333329</v>
      </c>
      <c r="AJ9" s="1092">
        <v>14581.777049218164</v>
      </c>
      <c r="AK9" s="1095"/>
      <c r="AM9" s="1097">
        <v>14</v>
      </c>
      <c r="AN9" s="1097">
        <v>14</v>
      </c>
      <c r="AO9" s="1097">
        <v>8</v>
      </c>
      <c r="AP9" s="1097">
        <v>0</v>
      </c>
      <c r="AQ9" s="1097">
        <v>0</v>
      </c>
      <c r="AR9" s="1060">
        <v>36</v>
      </c>
      <c r="AT9" s="1098">
        <v>14</v>
      </c>
      <c r="AU9" s="1098">
        <v>14</v>
      </c>
      <c r="AV9" s="1098">
        <v>8</v>
      </c>
      <c r="AW9" s="1098">
        <v>0</v>
      </c>
      <c r="AX9" s="1098">
        <v>0</v>
      </c>
      <c r="AY9" s="1062">
        <v>36</v>
      </c>
      <c r="BA9" s="1099">
        <v>13385.165721998985</v>
      </c>
      <c r="BB9" s="1100">
        <v>28507.296209966862</v>
      </c>
      <c r="BC9" s="1100">
        <v>27554.054577010997</v>
      </c>
      <c r="BD9" s="1099">
        <v>0</v>
      </c>
      <c r="BE9" s="1099">
        <v>0</v>
      </c>
      <c r="BF9" s="1099">
        <v>69446.516508976842</v>
      </c>
      <c r="BH9" s="1101">
        <v>18739.23201079858</v>
      </c>
      <c r="BI9" s="1101">
        <v>39910.214693953603</v>
      </c>
      <c r="BJ9" s="1101">
        <v>38575.676407815394</v>
      </c>
      <c r="BK9" s="1101">
        <v>0</v>
      </c>
      <c r="BL9" s="1101">
        <v>0</v>
      </c>
      <c r="BM9" s="1101">
        <v>97225.123112567584</v>
      </c>
      <c r="BO9" s="1102">
        <v>166671.63962154443</v>
      </c>
    </row>
    <row r="10" spans="1:67" x14ac:dyDescent="0.2">
      <c r="A10" s="1103" t="s">
        <v>1384</v>
      </c>
      <c r="B10" s="1152">
        <v>4177</v>
      </c>
      <c r="C10" s="1085">
        <v>2757.599838056969</v>
      </c>
      <c r="D10" s="1085">
        <v>5349.9650645657475</v>
      </c>
      <c r="E10" s="1085">
        <v>8729.2163731032997</v>
      </c>
      <c r="F10" s="1085">
        <v>13117.884230015945</v>
      </c>
      <c r="G10" s="1085"/>
      <c r="K10" s="1072"/>
      <c r="L10" s="1058"/>
      <c r="M10" s="1058"/>
      <c r="N10" s="1073"/>
      <c r="P10" s="1086"/>
      <c r="Q10" s="1086"/>
      <c r="R10" s="1086">
        <v>-1345.400161943031</v>
      </c>
      <c r="S10" s="1086">
        <v>1246.9650645657475</v>
      </c>
      <c r="T10" s="1086">
        <v>4626.2163731032997</v>
      </c>
      <c r="U10" s="1086">
        <v>9014.8842300159449</v>
      </c>
      <c r="V10" s="140"/>
      <c r="W10" s="1087"/>
      <c r="X10" s="1087">
        <v>4103</v>
      </c>
      <c r="Y10" s="1088"/>
      <c r="Z10" s="1087">
        <v>0</v>
      </c>
      <c r="AA10" s="1088"/>
      <c r="AB10" s="1087">
        <v>0</v>
      </c>
      <c r="AC10" s="1089">
        <v>0</v>
      </c>
      <c r="AD10" s="1090">
        <v>0</v>
      </c>
      <c r="AE10" s="1091">
        <v>0</v>
      </c>
      <c r="AF10" s="1092"/>
      <c r="AG10" s="1093"/>
      <c r="AH10" s="1087">
        <v>0</v>
      </c>
      <c r="AI10" s="1094">
        <v>0</v>
      </c>
      <c r="AJ10" s="1092"/>
      <c r="AK10" s="1095"/>
      <c r="AM10" s="1060"/>
      <c r="AN10" s="1060"/>
      <c r="AO10" s="1060"/>
      <c r="AP10" s="1060"/>
      <c r="AQ10" s="1060"/>
      <c r="AR10" s="1060">
        <v>0</v>
      </c>
      <c r="AT10" s="1062"/>
      <c r="AU10" s="1062"/>
      <c r="AV10" s="1062"/>
      <c r="AW10" s="1062"/>
      <c r="AX10" s="1062"/>
      <c r="AY10" s="1062">
        <v>0</v>
      </c>
      <c r="BA10" s="1099">
        <v>0</v>
      </c>
      <c r="BB10" s="1100">
        <v>0</v>
      </c>
      <c r="BC10" s="1100">
        <v>0</v>
      </c>
      <c r="BD10" s="1099">
        <v>0</v>
      </c>
      <c r="BE10" s="1099">
        <v>0</v>
      </c>
      <c r="BF10" s="1099">
        <v>0</v>
      </c>
      <c r="BH10" s="1101">
        <v>0</v>
      </c>
      <c r="BI10" s="1101">
        <v>0</v>
      </c>
      <c r="BJ10" s="1101">
        <v>0</v>
      </c>
      <c r="BK10" s="1101">
        <v>0</v>
      </c>
      <c r="BL10" s="1101">
        <v>0</v>
      </c>
      <c r="BM10" s="1101">
        <v>0</v>
      </c>
      <c r="BO10" s="1102">
        <v>0</v>
      </c>
    </row>
    <row r="11" spans="1:67" x14ac:dyDescent="0.2">
      <c r="A11" s="1084" t="s">
        <v>14</v>
      </c>
      <c r="B11" s="1152">
        <v>2433</v>
      </c>
      <c r="C11" s="1085">
        <v>1227.599838056969</v>
      </c>
      <c r="D11" s="1085">
        <v>3819.9650645657475</v>
      </c>
      <c r="E11" s="1085">
        <v>7199.2163731032997</v>
      </c>
      <c r="F11" s="1085">
        <v>11587.884230015945</v>
      </c>
      <c r="G11" s="1085"/>
      <c r="I11">
        <v>34</v>
      </c>
      <c r="K11" s="1072">
        <v>0</v>
      </c>
      <c r="L11" s="1058">
        <v>8</v>
      </c>
      <c r="M11" s="1058">
        <v>21</v>
      </c>
      <c r="N11" s="1073">
        <v>5</v>
      </c>
      <c r="P11" s="1086">
        <v>492200.68550177501</v>
      </c>
      <c r="Q11" s="1086">
        <v>340000</v>
      </c>
      <c r="R11" s="1086">
        <v>-1345.400161943031</v>
      </c>
      <c r="S11" s="1086">
        <v>1246.9650645657475</v>
      </c>
      <c r="T11" s="1086">
        <v>4626.2163731032997</v>
      </c>
      <c r="U11" s="1086">
        <v>9014.8842300159449</v>
      </c>
      <c r="V11" s="140">
        <v>2573</v>
      </c>
      <c r="W11" s="1087"/>
      <c r="X11" s="1087"/>
      <c r="Y11" s="1088">
        <v>34</v>
      </c>
      <c r="Z11" s="1087">
        <v>141666.66666666669</v>
      </c>
      <c r="AA11" s="1088">
        <v>34</v>
      </c>
      <c r="AB11" s="1087">
        <v>198333.33333333334</v>
      </c>
      <c r="AC11" s="1089">
        <v>340000</v>
      </c>
      <c r="AD11" s="1090">
        <v>201923.74861214572</v>
      </c>
      <c r="AE11" s="1091">
        <v>541923.74861214566</v>
      </c>
      <c r="AF11" s="1092"/>
      <c r="AG11" s="1093">
        <v>15938.933782710166</v>
      </c>
      <c r="AH11" s="1087">
        <v>579682.68550177501</v>
      </c>
      <c r="AI11" s="1094">
        <v>34</v>
      </c>
      <c r="AJ11" s="1092">
        <v>17049.490750052206</v>
      </c>
      <c r="AK11" s="1095"/>
      <c r="AM11" s="1097">
        <v>0</v>
      </c>
      <c r="AN11" s="1097">
        <v>0</v>
      </c>
      <c r="AO11" s="1097">
        <v>20</v>
      </c>
      <c r="AP11" s="1097">
        <v>5</v>
      </c>
      <c r="AQ11" s="1097">
        <v>0</v>
      </c>
      <c r="AR11" s="1060">
        <v>25</v>
      </c>
      <c r="AT11" s="1098">
        <v>0</v>
      </c>
      <c r="AU11" s="1098">
        <v>0</v>
      </c>
      <c r="AV11" s="1098">
        <v>20</v>
      </c>
      <c r="AW11" s="1098">
        <v>5</v>
      </c>
      <c r="AX11" s="1098">
        <v>0</v>
      </c>
      <c r="AY11" s="1062">
        <v>25</v>
      </c>
      <c r="BA11" s="1099">
        <v>0</v>
      </c>
      <c r="BB11" s="1100">
        <v>0</v>
      </c>
      <c r="BC11" s="1100">
        <v>59993.469775860831</v>
      </c>
      <c r="BD11" s="1099">
        <v>24141.425479199883</v>
      </c>
      <c r="BE11" s="1099">
        <v>0</v>
      </c>
      <c r="BF11" s="1099">
        <v>84134.895255060721</v>
      </c>
      <c r="BH11" s="1101">
        <v>0</v>
      </c>
      <c r="BI11" s="1101">
        <v>0</v>
      </c>
      <c r="BJ11" s="1101">
        <v>83990.857686205156</v>
      </c>
      <c r="BK11" s="1101">
        <v>33797.995670879835</v>
      </c>
      <c r="BL11" s="1101">
        <v>0</v>
      </c>
      <c r="BM11" s="1101">
        <v>117788.853357085</v>
      </c>
      <c r="BO11" s="1102">
        <v>201923.74861214572</v>
      </c>
    </row>
    <row r="12" spans="1:67" x14ac:dyDescent="0.2">
      <c r="A12" s="1084" t="s">
        <v>15</v>
      </c>
      <c r="B12" s="1152">
        <v>2432</v>
      </c>
      <c r="C12" s="1085">
        <v>1227.599838056969</v>
      </c>
      <c r="D12" s="1085">
        <v>3819.9650645657475</v>
      </c>
      <c r="E12" s="1085">
        <v>7199.2163731032997</v>
      </c>
      <c r="F12" s="1085">
        <v>11587.884230015945</v>
      </c>
      <c r="G12" s="1085"/>
      <c r="I12">
        <v>46</v>
      </c>
      <c r="K12" s="1072">
        <v>0</v>
      </c>
      <c r="L12" s="1058">
        <v>25</v>
      </c>
      <c r="M12" s="1058">
        <v>13</v>
      </c>
      <c r="N12" s="1073">
        <v>8</v>
      </c>
      <c r="P12" s="1086">
        <v>623434.01330461411</v>
      </c>
      <c r="Q12" s="1086">
        <v>460000</v>
      </c>
      <c r="R12" s="1086">
        <v>-1345.400161943031</v>
      </c>
      <c r="S12" s="1086">
        <v>1246.9650645657475</v>
      </c>
      <c r="T12" s="1086">
        <v>4626.2163731032997</v>
      </c>
      <c r="U12" s="1086">
        <v>9014.8842300159449</v>
      </c>
      <c r="V12" s="140">
        <v>2573</v>
      </c>
      <c r="W12" s="1087"/>
      <c r="X12" s="1087"/>
      <c r="Y12" s="1088">
        <v>46</v>
      </c>
      <c r="Z12" s="1087">
        <v>191666.66666666669</v>
      </c>
      <c r="AA12" s="1088">
        <v>46</v>
      </c>
      <c r="AB12" s="1087">
        <v>268333.33333333337</v>
      </c>
      <c r="AC12" s="1089">
        <v>460000.00000000006</v>
      </c>
      <c r="AD12" s="1090">
        <v>251232.29278808815</v>
      </c>
      <c r="AE12" s="1091">
        <v>711232.29278808821</v>
      </c>
      <c r="AF12" s="1092"/>
      <c r="AG12" s="1093">
        <v>15461.571582349743</v>
      </c>
      <c r="AH12" s="1087">
        <v>741792.01330461423</v>
      </c>
      <c r="AI12" s="1094">
        <v>46</v>
      </c>
      <c r="AJ12" s="1092">
        <v>16125.913332709006</v>
      </c>
      <c r="AK12" s="1095"/>
      <c r="AM12" s="1097">
        <v>0</v>
      </c>
      <c r="AN12" s="1097">
        <v>17</v>
      </c>
      <c r="AO12" s="1097">
        <v>13</v>
      </c>
      <c r="AP12" s="1097">
        <v>8</v>
      </c>
      <c r="AQ12" s="1097">
        <v>0</v>
      </c>
      <c r="AR12" s="1060">
        <v>38</v>
      </c>
      <c r="AT12" s="1098">
        <v>0</v>
      </c>
      <c r="AU12" s="1098">
        <v>17</v>
      </c>
      <c r="AV12" s="1098">
        <v>13</v>
      </c>
      <c r="AW12" s="1098">
        <v>8</v>
      </c>
      <c r="AX12" s="1098">
        <v>0</v>
      </c>
      <c r="AY12" s="1062">
        <v>38</v>
      </c>
      <c r="BA12" s="1099">
        <v>0</v>
      </c>
      <c r="BB12" s="1100">
        <v>27058.085874007378</v>
      </c>
      <c r="BC12" s="1100">
        <v>38995.755354309535</v>
      </c>
      <c r="BD12" s="1099">
        <v>38626.280766719814</v>
      </c>
      <c r="BE12" s="1099">
        <v>0</v>
      </c>
      <c r="BF12" s="1099">
        <v>104680.12199503672</v>
      </c>
      <c r="BH12" s="1101">
        <v>0</v>
      </c>
      <c r="BI12" s="1101">
        <v>37881.320223610332</v>
      </c>
      <c r="BJ12" s="1101">
        <v>54594.057496033347</v>
      </c>
      <c r="BK12" s="1101">
        <v>54076.793073407738</v>
      </c>
      <c r="BL12" s="1101">
        <v>0</v>
      </c>
      <c r="BM12" s="1101">
        <v>146552.17079305142</v>
      </c>
      <c r="BO12" s="1102">
        <v>251232.29278808815</v>
      </c>
    </row>
    <row r="13" spans="1:67" x14ac:dyDescent="0.2">
      <c r="A13" s="1103" t="s">
        <v>1385</v>
      </c>
      <c r="B13" s="1152">
        <v>4181</v>
      </c>
      <c r="C13" s="1085">
        <v>2294.599838056969</v>
      </c>
      <c r="D13" s="1085">
        <v>4886.9650645657475</v>
      </c>
      <c r="E13" s="1085">
        <v>8266.2163731032997</v>
      </c>
      <c r="F13" s="1085">
        <v>12654.884230015945</v>
      </c>
      <c r="G13" s="1085"/>
      <c r="I13">
        <v>12</v>
      </c>
      <c r="K13" s="1072">
        <v>12</v>
      </c>
      <c r="L13" s="1058">
        <v>0</v>
      </c>
      <c r="M13" s="1058">
        <v>0</v>
      </c>
      <c r="N13" s="1073">
        <v>0</v>
      </c>
      <c r="P13" s="1086">
        <v>103855.19805668363</v>
      </c>
      <c r="Q13" s="1086">
        <v>120000</v>
      </c>
      <c r="R13" s="1086">
        <v>-1345.400161943031</v>
      </c>
      <c r="S13" s="1086">
        <v>1246.9650645657475</v>
      </c>
      <c r="T13" s="1086">
        <v>4626.2163731032997</v>
      </c>
      <c r="U13" s="1086">
        <v>9014.8842300159449</v>
      </c>
      <c r="V13" s="140"/>
      <c r="W13" s="1087">
        <v>3640</v>
      </c>
      <c r="X13" s="1087"/>
      <c r="Y13" s="1088">
        <v>12</v>
      </c>
      <c r="Z13" s="1087">
        <v>50000</v>
      </c>
      <c r="AA13" s="1088">
        <v>12</v>
      </c>
      <c r="AB13" s="1087">
        <v>70000</v>
      </c>
      <c r="AC13" s="1089">
        <v>120000</v>
      </c>
      <c r="AD13" s="1090">
        <v>27535.198056683628</v>
      </c>
      <c r="AE13" s="1091">
        <v>147535.19805668364</v>
      </c>
      <c r="AF13" s="1092"/>
      <c r="AG13" s="1093">
        <v>12294.599838056971</v>
      </c>
      <c r="AH13" s="1087">
        <v>188517.19751687354</v>
      </c>
      <c r="AI13" s="1094">
        <v>15.333333333333334</v>
      </c>
      <c r="AJ13" s="1092">
        <v>12294.599838056969</v>
      </c>
      <c r="AK13" s="1095"/>
      <c r="AM13" s="1097">
        <v>12</v>
      </c>
      <c r="AN13" s="1097">
        <v>0</v>
      </c>
      <c r="AO13" s="1097">
        <v>0</v>
      </c>
      <c r="AP13" s="1097">
        <v>0</v>
      </c>
      <c r="AQ13" s="1097">
        <v>0</v>
      </c>
      <c r="AR13" s="1060">
        <v>12</v>
      </c>
      <c r="AT13" s="1098">
        <v>12</v>
      </c>
      <c r="AU13" s="1098">
        <v>0</v>
      </c>
      <c r="AV13" s="1098">
        <v>0</v>
      </c>
      <c r="AW13" s="1098">
        <v>0</v>
      </c>
      <c r="AX13" s="1098">
        <v>0</v>
      </c>
      <c r="AY13" s="1062">
        <v>12</v>
      </c>
      <c r="BA13" s="1099">
        <v>11472.999190284845</v>
      </c>
      <c r="BB13" s="1100">
        <v>0</v>
      </c>
      <c r="BC13" s="1100">
        <v>0</v>
      </c>
      <c r="BD13" s="1099">
        <v>0</v>
      </c>
      <c r="BE13" s="1099">
        <v>0</v>
      </c>
      <c r="BF13" s="1099">
        <v>11472.999190284845</v>
      </c>
      <c r="BH13" s="1101">
        <v>16062.198866398783</v>
      </c>
      <c r="BI13" s="1101">
        <v>0</v>
      </c>
      <c r="BJ13" s="1101">
        <v>0</v>
      </c>
      <c r="BK13" s="1101">
        <v>0</v>
      </c>
      <c r="BL13" s="1101">
        <v>0</v>
      </c>
      <c r="BM13" s="1101">
        <v>16062.198866398783</v>
      </c>
      <c r="BO13" s="1102">
        <v>27535.198056683628</v>
      </c>
    </row>
    <row r="14" spans="1:67" x14ac:dyDescent="0.2">
      <c r="A14" s="1103" t="s">
        <v>1386</v>
      </c>
      <c r="B14" s="1152">
        <v>4181</v>
      </c>
      <c r="C14" s="1085">
        <v>2757.599838056969</v>
      </c>
      <c r="D14" s="1085">
        <v>5349.9650645657475</v>
      </c>
      <c r="E14" s="1085">
        <v>8729.2163731032997</v>
      </c>
      <c r="F14" s="1085">
        <v>13117.884230015945</v>
      </c>
      <c r="G14" s="1085"/>
      <c r="K14" s="1072"/>
      <c r="L14" s="1058"/>
      <c r="M14" s="1058"/>
      <c r="N14" s="1073"/>
      <c r="P14" s="1086"/>
      <c r="Q14" s="1086"/>
      <c r="R14" s="1086">
        <v>-1345.400161943031</v>
      </c>
      <c r="S14" s="1086">
        <v>1246.9650645657475</v>
      </c>
      <c r="T14" s="1086">
        <v>4626.2163731032997</v>
      </c>
      <c r="U14" s="1086">
        <v>9014.8842300159449</v>
      </c>
      <c r="V14" s="140"/>
      <c r="W14" s="1087"/>
      <c r="X14" s="1087">
        <v>4103</v>
      </c>
      <c r="Y14" s="1088"/>
      <c r="Z14" s="1087">
        <v>0</v>
      </c>
      <c r="AA14" s="1088"/>
      <c r="AB14" s="1087">
        <v>0</v>
      </c>
      <c r="AC14" s="1089">
        <v>0</v>
      </c>
      <c r="AD14" s="1090">
        <v>0</v>
      </c>
      <c r="AE14" s="1091">
        <v>0</v>
      </c>
      <c r="AF14" s="1092"/>
      <c r="AG14" s="1093"/>
      <c r="AH14" s="1087">
        <v>0</v>
      </c>
      <c r="AI14" s="1094">
        <v>0</v>
      </c>
      <c r="AJ14" s="1092"/>
      <c r="AK14" s="1095"/>
      <c r="AM14" s="1060"/>
      <c r="AN14" s="1060"/>
      <c r="AO14" s="1060"/>
      <c r="AP14" s="1060"/>
      <c r="AQ14" s="1060">
        <v>0</v>
      </c>
      <c r="AR14" s="1060">
        <v>0</v>
      </c>
      <c r="AT14" s="1062"/>
      <c r="AU14" s="1062"/>
      <c r="AV14" s="1062"/>
      <c r="AW14" s="1062"/>
      <c r="AX14" s="1062"/>
      <c r="AY14" s="1062">
        <v>0</v>
      </c>
      <c r="BA14" s="1099">
        <v>0</v>
      </c>
      <c r="BB14" s="1100">
        <v>0</v>
      </c>
      <c r="BC14" s="1100">
        <v>0</v>
      </c>
      <c r="BD14" s="1099">
        <v>0</v>
      </c>
      <c r="BE14" s="1099">
        <v>0</v>
      </c>
      <c r="BF14" s="1099">
        <v>0</v>
      </c>
      <c r="BH14" s="1101">
        <v>0</v>
      </c>
      <c r="BI14" s="1101">
        <v>0</v>
      </c>
      <c r="BJ14" s="1101">
        <v>0</v>
      </c>
      <c r="BK14" s="1101">
        <v>0</v>
      </c>
      <c r="BL14" s="1101">
        <v>0</v>
      </c>
      <c r="BM14" s="1101">
        <v>0</v>
      </c>
      <c r="BO14" s="1102">
        <v>0</v>
      </c>
    </row>
    <row r="15" spans="1:67" x14ac:dyDescent="0.2">
      <c r="A15" s="1084" t="s">
        <v>38</v>
      </c>
      <c r="B15" s="1152">
        <v>2436</v>
      </c>
      <c r="C15" s="1085">
        <v>1227.599838056969</v>
      </c>
      <c r="D15" s="1085">
        <v>3819.9650645657475</v>
      </c>
      <c r="E15" s="1085">
        <v>7199.2163731032997</v>
      </c>
      <c r="F15" s="1085">
        <v>11587.884230015945</v>
      </c>
      <c r="G15" s="1085"/>
      <c r="I15">
        <v>10</v>
      </c>
      <c r="K15" s="1072">
        <v>0</v>
      </c>
      <c r="L15" s="1058">
        <v>0</v>
      </c>
      <c r="M15" s="1058">
        <v>0</v>
      </c>
      <c r="N15" s="1073">
        <v>10</v>
      </c>
      <c r="P15" s="1086">
        <v>190148.84230015945</v>
      </c>
      <c r="Q15" s="1086">
        <v>100000</v>
      </c>
      <c r="R15" s="1086">
        <v>-1345.400161943031</v>
      </c>
      <c r="S15" s="1086">
        <v>1246.9650645657475</v>
      </c>
      <c r="T15" s="1086">
        <v>4626.2163731032997</v>
      </c>
      <c r="U15" s="1086">
        <v>9014.8842300159449</v>
      </c>
      <c r="V15" s="140">
        <v>2573</v>
      </c>
      <c r="W15" s="1087"/>
      <c r="X15" s="1087"/>
      <c r="Y15" s="1088">
        <v>10</v>
      </c>
      <c r="Z15" s="1087">
        <v>41666.666666666672</v>
      </c>
      <c r="AA15" s="1088">
        <v>10</v>
      </c>
      <c r="AB15" s="1087">
        <v>58333.333333333343</v>
      </c>
      <c r="AC15" s="1089">
        <v>100000.00000000001</v>
      </c>
      <c r="AD15" s="1090">
        <v>23175.76846003189</v>
      </c>
      <c r="AE15" s="1091">
        <v>123175.7684600319</v>
      </c>
      <c r="AF15" s="1092"/>
      <c r="AG15" s="1093">
        <v>12317.57684600319</v>
      </c>
      <c r="AH15" s="1087">
        <v>233868.74582517275</v>
      </c>
      <c r="AI15" s="1094">
        <v>10.833333333333334</v>
      </c>
      <c r="AJ15" s="1092">
        <v>21587.884230015945</v>
      </c>
      <c r="AK15" s="1095"/>
      <c r="AM15" s="1097">
        <v>0</v>
      </c>
      <c r="AN15" s="1097">
        <v>0</v>
      </c>
      <c r="AO15" s="1097">
        <v>0</v>
      </c>
      <c r="AP15" s="1097">
        <v>2</v>
      </c>
      <c r="AQ15" s="1097">
        <v>0</v>
      </c>
      <c r="AR15" s="1060">
        <v>2</v>
      </c>
      <c r="AT15" s="1098">
        <v>0</v>
      </c>
      <c r="AU15" s="1098">
        <v>0</v>
      </c>
      <c r="AV15" s="1098">
        <v>0</v>
      </c>
      <c r="AW15" s="1098">
        <v>2</v>
      </c>
      <c r="AX15" s="1098">
        <v>0</v>
      </c>
      <c r="AY15" s="1062">
        <v>2</v>
      </c>
      <c r="BA15" s="1099">
        <v>0</v>
      </c>
      <c r="BB15" s="1100">
        <v>0</v>
      </c>
      <c r="BC15" s="1100">
        <v>0</v>
      </c>
      <c r="BD15" s="1099">
        <v>9656.5701916799535</v>
      </c>
      <c r="BE15" s="1099">
        <v>0</v>
      </c>
      <c r="BF15" s="1099">
        <v>9656.5701916799535</v>
      </c>
      <c r="BH15" s="1101">
        <v>0</v>
      </c>
      <c r="BI15" s="1101">
        <v>0</v>
      </c>
      <c r="BJ15" s="1101">
        <v>0</v>
      </c>
      <c r="BK15" s="1101">
        <v>13519.198268351935</v>
      </c>
      <c r="BL15" s="1101">
        <v>0</v>
      </c>
      <c r="BM15" s="1101">
        <v>13519.198268351935</v>
      </c>
      <c r="BO15" s="1102">
        <v>23175.76846003189</v>
      </c>
    </row>
    <row r="16" spans="1:67" x14ac:dyDescent="0.2">
      <c r="A16" s="1084" t="s">
        <v>53</v>
      </c>
      <c r="B16" s="1152">
        <v>2000</v>
      </c>
      <c r="C16" s="1085">
        <v>1227.599838056969</v>
      </c>
      <c r="D16" s="1085">
        <v>3819.9650645657475</v>
      </c>
      <c r="E16" s="1085">
        <v>7199.2163731032997</v>
      </c>
      <c r="F16" s="1085">
        <v>11587.884230015945</v>
      </c>
      <c r="G16" s="1085">
        <v>30603</v>
      </c>
      <c r="I16">
        <v>28</v>
      </c>
      <c r="K16" s="1072">
        <v>0</v>
      </c>
      <c r="L16" s="1058">
        <v>10</v>
      </c>
      <c r="M16" s="1058">
        <v>10</v>
      </c>
      <c r="N16" s="1073">
        <v>8</v>
      </c>
      <c r="P16" s="1086">
        <v>410850.88821681798</v>
      </c>
      <c r="Q16" s="1086">
        <v>280000</v>
      </c>
      <c r="R16" s="1086">
        <v>-1345.400161943031</v>
      </c>
      <c r="S16" s="1086">
        <v>1246.9650645657475</v>
      </c>
      <c r="T16" s="1086">
        <v>4626.2163731032997</v>
      </c>
      <c r="U16" s="1086">
        <v>9014.8842300159449</v>
      </c>
      <c r="V16" s="140">
        <v>2573</v>
      </c>
      <c r="W16" s="1087"/>
      <c r="X16" s="1087"/>
      <c r="Y16" s="1088">
        <v>27</v>
      </c>
      <c r="Z16" s="1087">
        <v>112500.00000000001</v>
      </c>
      <c r="AA16" s="1088">
        <v>27</v>
      </c>
      <c r="AB16" s="1087">
        <v>157500.00000000003</v>
      </c>
      <c r="AC16" s="1089">
        <v>270000.00000000006</v>
      </c>
      <c r="AD16" s="1090">
        <v>195170.24853484187</v>
      </c>
      <c r="AE16" s="1091">
        <v>465170.24853484193</v>
      </c>
      <c r="AF16" s="1092"/>
      <c r="AG16" s="1093">
        <v>17228.527723512663</v>
      </c>
      <c r="AH16" s="1087">
        <v>501910.00398680207</v>
      </c>
      <c r="AI16" s="1094">
        <v>28.000000000000004</v>
      </c>
      <c r="AJ16" s="1092">
        <v>17925.357285242928</v>
      </c>
      <c r="AK16" s="1095"/>
      <c r="AM16" s="1097">
        <v>0</v>
      </c>
      <c r="AN16" s="1097">
        <v>3</v>
      </c>
      <c r="AO16" s="1097">
        <v>10</v>
      </c>
      <c r="AP16" s="1097">
        <v>7</v>
      </c>
      <c r="AQ16" s="1097">
        <v>1</v>
      </c>
      <c r="AR16" s="1060">
        <v>21</v>
      </c>
      <c r="AT16" s="1098">
        <v>0</v>
      </c>
      <c r="AU16" s="1098">
        <v>3</v>
      </c>
      <c r="AV16" s="1098">
        <v>10</v>
      </c>
      <c r="AW16" s="1098">
        <v>7</v>
      </c>
      <c r="AX16" s="1098">
        <v>1</v>
      </c>
      <c r="AY16" s="1062">
        <v>21</v>
      </c>
      <c r="BA16" s="1099">
        <v>0</v>
      </c>
      <c r="BB16" s="1100">
        <v>4774.956330707184</v>
      </c>
      <c r="BC16" s="1100">
        <v>29996.734887930415</v>
      </c>
      <c r="BD16" s="1099">
        <v>33797.995670879842</v>
      </c>
      <c r="BE16" s="1099">
        <v>12751.25</v>
      </c>
      <c r="BF16" s="1099">
        <v>81320.936889517441</v>
      </c>
      <c r="BH16" s="1101">
        <v>0</v>
      </c>
      <c r="BI16" s="1101">
        <v>6684.9388629900586</v>
      </c>
      <c r="BJ16" s="1101">
        <v>41995.428843102578</v>
      </c>
      <c r="BK16" s="1101">
        <v>47317.19393923178</v>
      </c>
      <c r="BL16" s="1101">
        <v>17851.75</v>
      </c>
      <c r="BM16" s="1101">
        <v>113849.31164532441</v>
      </c>
      <c r="BO16" s="1102">
        <v>195170.24853484187</v>
      </c>
    </row>
    <row r="17" spans="1:70" x14ac:dyDescent="0.2">
      <c r="A17" s="1103" t="s">
        <v>1387</v>
      </c>
      <c r="B17" s="1152">
        <v>4607</v>
      </c>
      <c r="C17" s="1085">
        <v>2294.599838056969</v>
      </c>
      <c r="D17" s="1085">
        <v>4886.9650645657475</v>
      </c>
      <c r="E17" s="1085">
        <v>8266.2163731032997</v>
      </c>
      <c r="F17" s="1085">
        <v>14154.884230015945</v>
      </c>
      <c r="G17" s="1085"/>
      <c r="I17">
        <v>37</v>
      </c>
      <c r="K17" s="1072">
        <v>0</v>
      </c>
      <c r="L17" s="1058">
        <v>3</v>
      </c>
      <c r="M17" s="1058">
        <v>29</v>
      </c>
      <c r="N17" s="1073">
        <v>5</v>
      </c>
      <c r="P17" s="1086">
        <v>560475.59116377262</v>
      </c>
      <c r="Q17" s="1086">
        <v>370000</v>
      </c>
      <c r="R17" s="1086">
        <v>-1345.400161943031</v>
      </c>
      <c r="S17" s="1086">
        <v>1246.9650645657475</v>
      </c>
      <c r="T17" s="1086">
        <v>4626.2163731032997</v>
      </c>
      <c r="U17" s="1086">
        <v>10514.884230015945</v>
      </c>
      <c r="V17" s="140"/>
      <c r="W17" s="1087">
        <v>3640</v>
      </c>
      <c r="X17" s="1087"/>
      <c r="Y17" s="1088"/>
      <c r="Z17" s="1087">
        <v>0</v>
      </c>
      <c r="AA17" s="1088"/>
      <c r="AB17" s="1087">
        <v>0</v>
      </c>
      <c r="AC17" s="1089">
        <v>0</v>
      </c>
      <c r="AD17" s="1090">
        <v>0</v>
      </c>
      <c r="AE17" s="1091">
        <v>0</v>
      </c>
      <c r="AF17" s="1092"/>
      <c r="AG17" s="1093"/>
      <c r="AH17" s="1087">
        <v>0</v>
      </c>
      <c r="AI17" s="1094">
        <v>0</v>
      </c>
      <c r="AJ17" s="1092"/>
      <c r="AK17" s="1095"/>
      <c r="AM17" s="1060"/>
      <c r="AN17" s="1060"/>
      <c r="AO17" s="1060"/>
      <c r="AP17" s="1060"/>
      <c r="AQ17" s="1060"/>
      <c r="AR17" s="1060">
        <v>0</v>
      </c>
      <c r="AT17" s="1062"/>
      <c r="AU17" s="1062"/>
      <c r="AV17" s="1062"/>
      <c r="AW17" s="1062"/>
      <c r="AX17" s="1062"/>
      <c r="AY17" s="1062">
        <v>0</v>
      </c>
      <c r="BA17" s="1099">
        <v>0</v>
      </c>
      <c r="BB17" s="1100">
        <v>0</v>
      </c>
      <c r="BC17" s="1100">
        <v>0</v>
      </c>
      <c r="BD17" s="1099">
        <v>0</v>
      </c>
      <c r="BE17" s="1099">
        <v>0</v>
      </c>
      <c r="BF17" s="1099">
        <v>0</v>
      </c>
      <c r="BH17" s="1101">
        <v>0</v>
      </c>
      <c r="BI17" s="1101">
        <v>0</v>
      </c>
      <c r="BJ17" s="1101">
        <v>0</v>
      </c>
      <c r="BK17" s="1101">
        <v>0</v>
      </c>
      <c r="BL17" s="1101">
        <v>0</v>
      </c>
      <c r="BM17" s="1101">
        <v>0</v>
      </c>
      <c r="BO17" s="1102">
        <v>0</v>
      </c>
    </row>
    <row r="18" spans="1:70" x14ac:dyDescent="0.2">
      <c r="A18" s="1103" t="s">
        <v>1388</v>
      </c>
      <c r="B18" s="1152">
        <v>4607</v>
      </c>
      <c r="C18" s="1085">
        <v>2757.599838056969</v>
      </c>
      <c r="D18" s="1085">
        <v>5349.9650645657475</v>
      </c>
      <c r="E18" s="1085">
        <v>8729.2163731032997</v>
      </c>
      <c r="F18" s="1085">
        <v>13117.884230015945</v>
      </c>
      <c r="G18" s="1085"/>
      <c r="K18" s="1072"/>
      <c r="L18" s="1058"/>
      <c r="M18" s="1058"/>
      <c r="N18" s="1073"/>
      <c r="P18" s="1086"/>
      <c r="Q18" s="1086"/>
      <c r="R18" s="1086">
        <v>-1345.400161943031</v>
      </c>
      <c r="S18" s="1086">
        <v>1246.9650645657475</v>
      </c>
      <c r="T18" s="1086">
        <v>4626.2163731032997</v>
      </c>
      <c r="U18" s="1086">
        <v>9014.8842300159449</v>
      </c>
      <c r="V18" s="140"/>
      <c r="W18" s="1087"/>
      <c r="X18" s="1087">
        <v>4103</v>
      </c>
      <c r="Y18" s="1088">
        <v>37</v>
      </c>
      <c r="Z18" s="1087">
        <v>154166.66666666669</v>
      </c>
      <c r="AA18" s="1088">
        <v>37</v>
      </c>
      <c r="AB18" s="1087">
        <v>215833.33333333334</v>
      </c>
      <c r="AC18" s="1089">
        <v>370000</v>
      </c>
      <c r="AD18" s="1090">
        <v>192138.99888971657</v>
      </c>
      <c r="AE18" s="1091">
        <v>562138.99888971657</v>
      </c>
      <c r="AF18" s="1092"/>
      <c r="AG18" s="1093">
        <v>15192.945915938286</v>
      </c>
      <c r="AH18" s="1087">
        <v>704786.59116377262</v>
      </c>
      <c r="AI18" s="1094">
        <v>37</v>
      </c>
      <c r="AJ18" s="1092">
        <v>19048.28624766953</v>
      </c>
      <c r="AK18" s="1095"/>
      <c r="AM18" s="1097">
        <v>0</v>
      </c>
      <c r="AN18" s="1097">
        <v>0</v>
      </c>
      <c r="AO18" s="1097">
        <v>16</v>
      </c>
      <c r="AP18" s="1097">
        <v>4</v>
      </c>
      <c r="AQ18" s="1097">
        <v>0</v>
      </c>
      <c r="AR18" s="1060">
        <v>20</v>
      </c>
      <c r="AT18" s="1098">
        <v>0</v>
      </c>
      <c r="AU18" s="1098">
        <v>0</v>
      </c>
      <c r="AV18" s="1098">
        <v>16</v>
      </c>
      <c r="AW18" s="1098">
        <v>4</v>
      </c>
      <c r="AX18" s="1098">
        <v>0</v>
      </c>
      <c r="AY18" s="1062">
        <v>20</v>
      </c>
      <c r="BA18" s="1099">
        <v>0</v>
      </c>
      <c r="BB18" s="1100">
        <v>0</v>
      </c>
      <c r="BC18" s="1100">
        <v>58194.775820688665</v>
      </c>
      <c r="BD18" s="1099">
        <v>21863.140383359911</v>
      </c>
      <c r="BE18" s="1099">
        <v>0</v>
      </c>
      <c r="BF18" s="1099">
        <v>80057.916204048583</v>
      </c>
      <c r="BH18" s="1101">
        <v>0</v>
      </c>
      <c r="BI18" s="1101">
        <v>0</v>
      </c>
      <c r="BJ18" s="1101">
        <v>81472.686148964131</v>
      </c>
      <c r="BK18" s="1101">
        <v>30608.396536703873</v>
      </c>
      <c r="BL18" s="1101">
        <v>0</v>
      </c>
      <c r="BM18" s="1101">
        <v>112081.08268566801</v>
      </c>
      <c r="BO18" s="1102">
        <v>192138.99888971657</v>
      </c>
    </row>
    <row r="19" spans="1:70" x14ac:dyDescent="0.2">
      <c r="A19" s="1103" t="s">
        <v>1389</v>
      </c>
      <c r="B19" s="1152">
        <v>5414</v>
      </c>
      <c r="C19" s="1085">
        <v>2294.599838056969</v>
      </c>
      <c r="D19" s="1085">
        <v>4886.9650645657475</v>
      </c>
      <c r="E19" s="1085">
        <v>8266.2163731032997</v>
      </c>
      <c r="F19" s="1085">
        <v>12654.884230015945</v>
      </c>
      <c r="G19" s="1085"/>
      <c r="K19" s="1072"/>
      <c r="L19" s="1058"/>
      <c r="M19" s="1058"/>
      <c r="N19" s="1073"/>
      <c r="P19" s="1086"/>
      <c r="Q19" s="1086"/>
      <c r="R19" s="1086">
        <v>-1345.400161943031</v>
      </c>
      <c r="S19" s="1086">
        <v>1246.9650645657475</v>
      </c>
      <c r="T19" s="1086">
        <v>4626.2163731032997</v>
      </c>
      <c r="U19" s="1086">
        <v>9014.8842300159449</v>
      </c>
      <c r="V19" s="140"/>
      <c r="W19" s="1087">
        <v>3640</v>
      </c>
      <c r="X19" s="1087"/>
      <c r="Y19" s="1088">
        <v>0</v>
      </c>
      <c r="Z19" s="1087">
        <v>0</v>
      </c>
      <c r="AA19" s="1088">
        <v>0</v>
      </c>
      <c r="AB19" s="1087">
        <v>0</v>
      </c>
      <c r="AC19" s="1089">
        <v>0</v>
      </c>
      <c r="AD19" s="1090">
        <v>0</v>
      </c>
      <c r="AE19" s="1091">
        <v>0</v>
      </c>
      <c r="AF19" s="1092"/>
      <c r="AG19" s="1093"/>
      <c r="AH19" s="1087">
        <v>0</v>
      </c>
      <c r="AI19" s="1094">
        <v>0</v>
      </c>
      <c r="AJ19" s="1092"/>
      <c r="AK19" s="1095"/>
      <c r="AM19" s="1097"/>
      <c r="AN19" s="1097"/>
      <c r="AO19" s="1097"/>
      <c r="AP19" s="1097"/>
      <c r="AQ19" s="1097"/>
      <c r="AR19" s="1060">
        <v>0</v>
      </c>
      <c r="AT19" s="1098"/>
      <c r="AU19" s="1098"/>
      <c r="AV19" s="1098"/>
      <c r="AW19" s="1098"/>
      <c r="AX19" s="1098"/>
      <c r="AY19" s="1062">
        <v>0</v>
      </c>
      <c r="BA19" s="1099">
        <v>0</v>
      </c>
      <c r="BB19" s="1100">
        <v>0</v>
      </c>
      <c r="BC19" s="1100">
        <v>0</v>
      </c>
      <c r="BD19" s="1099">
        <v>0</v>
      </c>
      <c r="BE19" s="1099">
        <v>0</v>
      </c>
      <c r="BF19" s="1099">
        <v>0</v>
      </c>
      <c r="BH19" s="1101">
        <v>0</v>
      </c>
      <c r="BI19" s="1101">
        <v>0</v>
      </c>
      <c r="BJ19" s="1101">
        <v>0</v>
      </c>
      <c r="BK19" s="1101">
        <v>0</v>
      </c>
      <c r="BL19" s="1101">
        <v>0</v>
      </c>
      <c r="BM19" s="1101">
        <v>0</v>
      </c>
      <c r="BO19" s="1102">
        <v>0</v>
      </c>
    </row>
    <row r="20" spans="1:70" x14ac:dyDescent="0.2">
      <c r="A20" s="1103" t="s">
        <v>1390</v>
      </c>
      <c r="B20" s="1152">
        <v>5414</v>
      </c>
      <c r="C20" s="1085">
        <v>2757.599838056969</v>
      </c>
      <c r="D20" s="1085">
        <v>5349.9650645657475</v>
      </c>
      <c r="E20" s="1085">
        <v>8729.2163731032997</v>
      </c>
      <c r="F20" s="1085">
        <v>13117.884230015945</v>
      </c>
      <c r="G20" s="1085"/>
      <c r="I20">
        <v>20</v>
      </c>
      <c r="K20" s="1072">
        <v>0</v>
      </c>
      <c r="L20" s="1058">
        <v>20</v>
      </c>
      <c r="M20" s="1058">
        <v>0</v>
      </c>
      <c r="N20" s="1073">
        <v>0</v>
      </c>
      <c r="P20" s="1086">
        <v>224939.30129131494</v>
      </c>
      <c r="Q20" s="1086">
        <v>200000</v>
      </c>
      <c r="R20" s="1086">
        <v>-1345.400161943031</v>
      </c>
      <c r="S20" s="1086">
        <v>1246.9650645657475</v>
      </c>
      <c r="T20" s="1086">
        <v>4626.2163731032997</v>
      </c>
      <c r="U20" s="1086">
        <v>9014.8842300159449</v>
      </c>
      <c r="V20" s="140"/>
      <c r="W20" s="1087"/>
      <c r="X20" s="1087">
        <v>4103</v>
      </c>
      <c r="Y20" s="1088">
        <v>20</v>
      </c>
      <c r="Z20" s="1087">
        <v>83333.333333333343</v>
      </c>
      <c r="AA20" s="1088">
        <v>20</v>
      </c>
      <c r="AB20" s="1087">
        <v>116666.66666666669</v>
      </c>
      <c r="AC20" s="1089">
        <v>200000.00000000003</v>
      </c>
      <c r="AD20" s="1090">
        <v>56620.463599987488</v>
      </c>
      <c r="AE20" s="1091">
        <v>256620.4635999875</v>
      </c>
      <c r="AF20" s="1092"/>
      <c r="AG20" s="1093">
        <v>12831.023179999374</v>
      </c>
      <c r="AH20" s="1087">
        <v>306999.301291315</v>
      </c>
      <c r="AI20" s="1094">
        <v>20</v>
      </c>
      <c r="AJ20" s="1092">
        <v>15349.965064565749</v>
      </c>
      <c r="AK20" s="1095"/>
      <c r="AM20" s="1097">
        <v>0</v>
      </c>
      <c r="AN20" s="1097">
        <v>10</v>
      </c>
      <c r="AO20" s="1097">
        <v>0</v>
      </c>
      <c r="AP20" s="1097">
        <v>0</v>
      </c>
      <c r="AQ20" s="1097">
        <v>0</v>
      </c>
      <c r="AR20" s="1060">
        <v>10</v>
      </c>
      <c r="AT20" s="1098">
        <v>0</v>
      </c>
      <c r="AU20" s="1098">
        <v>11</v>
      </c>
      <c r="AV20" s="1098">
        <v>0</v>
      </c>
      <c r="AW20" s="1098">
        <v>0</v>
      </c>
      <c r="AX20" s="1098">
        <v>0</v>
      </c>
      <c r="AY20" s="1062">
        <v>11</v>
      </c>
      <c r="BA20" s="1099">
        <v>0</v>
      </c>
      <c r="BB20" s="1100">
        <v>22291.521102357277</v>
      </c>
      <c r="BC20" s="1100">
        <v>0</v>
      </c>
      <c r="BD20" s="1099">
        <v>0</v>
      </c>
      <c r="BE20" s="1099">
        <v>0</v>
      </c>
      <c r="BF20" s="1099">
        <v>22291.521102357277</v>
      </c>
      <c r="BH20" s="1101">
        <v>0</v>
      </c>
      <c r="BI20" s="1101">
        <v>34328.942497630211</v>
      </c>
      <c r="BJ20" s="1101">
        <v>0</v>
      </c>
      <c r="BK20" s="1101">
        <v>0</v>
      </c>
      <c r="BL20" s="1101">
        <v>0</v>
      </c>
      <c r="BM20" s="1101">
        <v>34328.942497630211</v>
      </c>
      <c r="BO20" s="1102">
        <v>56620.463599987488</v>
      </c>
    </row>
    <row r="21" spans="1:70" x14ac:dyDescent="0.2">
      <c r="A21" s="1071"/>
      <c r="B21" s="44"/>
      <c r="K21" s="1104"/>
      <c r="L21" s="1105"/>
      <c r="M21" s="1105"/>
      <c r="N21" s="1106"/>
      <c r="P21" s="1087"/>
      <c r="Q21" s="1086"/>
      <c r="R21" s="1086"/>
      <c r="S21" s="1086"/>
      <c r="T21" s="1086"/>
      <c r="U21" s="1086"/>
      <c r="V21" s="140"/>
      <c r="W21" s="1087"/>
      <c r="X21" s="1087"/>
      <c r="Y21" s="1087"/>
      <c r="Z21" s="1087"/>
      <c r="AA21" s="1087"/>
      <c r="AB21" s="1087"/>
      <c r="AC21" s="1090"/>
      <c r="AD21" s="1090"/>
      <c r="AE21" s="1091">
        <v>0</v>
      </c>
      <c r="AF21" s="1092"/>
      <c r="AG21" s="1093"/>
      <c r="AH21" s="1087"/>
      <c r="AI21" s="1094"/>
      <c r="AJ21" s="1092"/>
      <c r="AK21" s="1095"/>
      <c r="AM21" s="1060"/>
      <c r="AN21" s="1060"/>
      <c r="AO21" s="1060"/>
      <c r="AP21" s="1060"/>
      <c r="AQ21" s="1060"/>
      <c r="AR21" s="1060"/>
      <c r="AT21" s="1062"/>
      <c r="AU21" s="1062"/>
      <c r="AV21" s="1062"/>
      <c r="AW21" s="1062"/>
      <c r="AX21" s="1062"/>
      <c r="AY21" s="1062">
        <v>0</v>
      </c>
      <c r="BA21" s="1060"/>
      <c r="BB21" s="1060"/>
      <c r="BC21" s="1060"/>
      <c r="BD21" s="1060"/>
      <c r="BE21" s="1060"/>
      <c r="BF21" s="1060"/>
      <c r="BH21" s="1062"/>
      <c r="BI21" s="1062"/>
      <c r="BJ21" s="1062"/>
      <c r="BK21" s="1062"/>
      <c r="BL21" s="1062"/>
      <c r="BM21" s="1062"/>
    </row>
    <row r="22" spans="1:70" ht="13.5" thickBot="1" x14ac:dyDescent="0.25">
      <c r="K22" s="1107"/>
      <c r="L22" s="1107"/>
      <c r="M22" s="1107"/>
      <c r="N22" s="1107"/>
      <c r="P22" s="1087"/>
      <c r="Q22" s="1086"/>
      <c r="R22" s="1086"/>
      <c r="S22" s="1086"/>
      <c r="T22" s="1086"/>
      <c r="U22" s="1086"/>
      <c r="V22" s="140"/>
      <c r="W22" s="1087"/>
      <c r="X22" s="1087"/>
      <c r="Y22" s="1108">
        <v>250</v>
      </c>
      <c r="Z22" s="1109">
        <v>1041666.6666666666</v>
      </c>
      <c r="AA22" s="1110">
        <v>250</v>
      </c>
      <c r="AB22" s="1109">
        <v>1458333.3333333335</v>
      </c>
      <c r="AC22" s="1111">
        <v>2500000</v>
      </c>
      <c r="AD22" s="1112">
        <v>1203446.4909293766</v>
      </c>
      <c r="AE22" s="1113">
        <v>3703446.4909293763</v>
      </c>
      <c r="AF22" s="1114"/>
      <c r="AG22" s="1115"/>
      <c r="AH22" s="1109">
        <v>4216979.6473231809</v>
      </c>
      <c r="AI22" s="1116">
        <v>254</v>
      </c>
      <c r="AJ22" s="1114"/>
      <c r="AK22" s="1095"/>
      <c r="AM22" s="1060">
        <v>26</v>
      </c>
      <c r="AN22" s="1060">
        <v>45</v>
      </c>
      <c r="AO22" s="1060">
        <v>74</v>
      </c>
      <c r="AP22" s="1060">
        <v>29</v>
      </c>
      <c r="AQ22" s="1060">
        <v>1</v>
      </c>
      <c r="AR22" s="1060">
        <v>175</v>
      </c>
      <c r="AT22" s="1062">
        <v>26</v>
      </c>
      <c r="AU22" s="1062">
        <v>46</v>
      </c>
      <c r="AV22" s="1062">
        <v>74</v>
      </c>
      <c r="AW22" s="1062">
        <v>29</v>
      </c>
      <c r="AX22" s="1062">
        <v>1</v>
      </c>
      <c r="AY22" s="1062">
        <v>176</v>
      </c>
      <c r="BA22" s="1117">
        <v>24858.164912283828</v>
      </c>
      <c r="BB22" s="1117">
        <v>84223.511627274434</v>
      </c>
      <c r="BC22" s="1117">
        <v>235732.50483735173</v>
      </c>
      <c r="BD22" s="1117">
        <v>142570.26777935933</v>
      </c>
      <c r="BE22" s="1117">
        <v>12751.25</v>
      </c>
      <c r="BF22" s="1117">
        <v>500135.69915626931</v>
      </c>
      <c r="BH22" s="1118">
        <v>34801.430877197359</v>
      </c>
      <c r="BI22" s="1118">
        <v>121033.72923251423</v>
      </c>
      <c r="BJ22" s="1118">
        <v>330025.50677229243</v>
      </c>
      <c r="BK22" s="1118">
        <v>199598.37489110304</v>
      </c>
      <c r="BL22" s="1118">
        <v>17851.75</v>
      </c>
      <c r="BM22" s="1118">
        <v>703310.79177310714</v>
      </c>
      <c r="BO22" s="1102">
        <v>1203446.4909293766</v>
      </c>
    </row>
    <row r="23" spans="1:70" x14ac:dyDescent="0.2">
      <c r="K23" s="1107"/>
      <c r="L23" s="1107"/>
      <c r="M23" s="1107"/>
      <c r="N23" s="1107"/>
      <c r="P23" s="1087"/>
      <c r="Q23" s="1086"/>
      <c r="R23" s="1086"/>
      <c r="S23" s="1086"/>
      <c r="T23" s="1086"/>
      <c r="U23" s="1086"/>
      <c r="V23" s="140"/>
      <c r="W23" s="1087"/>
      <c r="X23" s="1087"/>
      <c r="Y23" s="1087"/>
      <c r="Z23" s="1087"/>
      <c r="AA23" s="1087"/>
      <c r="AB23" s="1087"/>
      <c r="AC23" s="1087"/>
      <c r="AD23" s="1087"/>
      <c r="AE23" s="1087"/>
      <c r="AF23" s="1087"/>
      <c r="AG23" s="1094"/>
      <c r="AH23" s="1087"/>
      <c r="AI23" s="1094"/>
      <c r="AJ23" s="1087"/>
      <c r="AK23" s="1087"/>
    </row>
    <row r="24" spans="1:70" x14ac:dyDescent="0.2">
      <c r="K24" s="1119"/>
      <c r="L24" s="1119"/>
      <c r="M24" s="1119"/>
      <c r="N24" s="1119"/>
      <c r="P24" s="1087"/>
      <c r="Q24" s="1086"/>
      <c r="R24" s="1086"/>
      <c r="S24" s="1086"/>
      <c r="T24" s="1086"/>
      <c r="U24" s="1086"/>
      <c r="V24" s="140"/>
      <c r="W24" s="1087"/>
      <c r="X24" s="1087"/>
      <c r="Y24" s="1087"/>
      <c r="Z24" s="1087"/>
      <c r="AA24" s="1087"/>
      <c r="AB24" s="1087"/>
      <c r="AC24" s="1087"/>
      <c r="AD24" s="1087"/>
      <c r="AE24" s="1087"/>
      <c r="AF24" s="1087"/>
      <c r="AG24" s="1094"/>
      <c r="AH24" s="1087"/>
      <c r="AI24" s="1094"/>
      <c r="AJ24" s="1087"/>
      <c r="AK24" s="1087" t="s">
        <v>1446</v>
      </c>
      <c r="AM24">
        <v>13</v>
      </c>
      <c r="AN24">
        <v>140</v>
      </c>
      <c r="AO24">
        <v>28</v>
      </c>
      <c r="AP24">
        <v>1</v>
      </c>
      <c r="AQ24">
        <v>1</v>
      </c>
      <c r="AR24">
        <v>183</v>
      </c>
      <c r="AT24">
        <v>13</v>
      </c>
      <c r="AU24">
        <v>126</v>
      </c>
      <c r="AV24">
        <v>35</v>
      </c>
      <c r="AW24">
        <v>8</v>
      </c>
      <c r="AX24">
        <v>1</v>
      </c>
      <c r="AY24">
        <v>183</v>
      </c>
    </row>
    <row r="25" spans="1:70" x14ac:dyDescent="0.2">
      <c r="K25" s="2"/>
      <c r="L25" s="2"/>
      <c r="M25" s="2"/>
      <c r="N25" s="2"/>
      <c r="P25" s="1087"/>
      <c r="Q25" s="1086"/>
      <c r="R25" s="1086"/>
      <c r="S25" s="1086"/>
      <c r="T25" s="1086"/>
      <c r="U25" s="1086"/>
      <c r="V25" s="140"/>
      <c r="W25" s="1087"/>
      <c r="X25" s="1087"/>
      <c r="Y25" s="1087"/>
      <c r="Z25" s="1087"/>
      <c r="AA25" s="1087"/>
      <c r="AB25" s="1087"/>
      <c r="AC25" s="1087"/>
      <c r="AD25" s="1087"/>
      <c r="AE25" s="1087"/>
      <c r="AF25" s="1087"/>
      <c r="AG25" s="1094"/>
      <c r="AH25" s="1087"/>
      <c r="AI25" s="1094"/>
      <c r="AJ25" s="1087"/>
      <c r="AK25" s="1087"/>
    </row>
    <row r="26" spans="1:70" x14ac:dyDescent="0.2">
      <c r="P26" s="1087"/>
      <c r="Q26" s="1086"/>
      <c r="R26" s="1086"/>
      <c r="S26" s="1086"/>
      <c r="T26" s="1086"/>
      <c r="U26" s="1086"/>
      <c r="V26" s="140"/>
      <c r="W26" s="1087"/>
      <c r="X26" s="1087"/>
      <c r="Y26" s="1087"/>
      <c r="Z26" s="1087"/>
      <c r="AA26" s="1087"/>
      <c r="AB26" s="1087"/>
      <c r="AC26" s="1087"/>
      <c r="AD26" s="1087"/>
      <c r="AE26" s="1087"/>
      <c r="AF26" s="1087"/>
      <c r="AG26" s="1094"/>
      <c r="AH26" s="1087"/>
      <c r="AI26" s="1094"/>
      <c r="AJ26" s="1087"/>
      <c r="AK26" s="1087"/>
    </row>
    <row r="27" spans="1:70" x14ac:dyDescent="0.2">
      <c r="A27" s="151" t="s">
        <v>1391</v>
      </c>
      <c r="B27" s="28"/>
      <c r="C27" s="28"/>
      <c r="D27" s="28"/>
      <c r="E27" s="28"/>
      <c r="F27" s="28"/>
      <c r="G27" s="28"/>
      <c r="K27" s="1066" t="s">
        <v>1366</v>
      </c>
      <c r="L27" s="1067"/>
      <c r="M27" s="1067"/>
      <c r="N27" s="8"/>
      <c r="P27" s="1087"/>
      <c r="Q27" s="1086"/>
      <c r="R27" s="1086"/>
      <c r="S27" s="1086"/>
      <c r="T27" s="1086"/>
      <c r="U27" s="1086"/>
      <c r="V27" s="140"/>
      <c r="W27" s="1087"/>
      <c r="X27" s="1087"/>
      <c r="Y27" s="1087"/>
      <c r="Z27" s="1087"/>
      <c r="AA27" s="1087"/>
      <c r="AB27" s="1087"/>
      <c r="AC27" s="1087"/>
      <c r="AD27" s="1087"/>
      <c r="AE27" s="1087"/>
      <c r="AF27" s="1087"/>
      <c r="AG27" s="1094"/>
      <c r="AH27" s="1087"/>
      <c r="AI27" s="1094"/>
      <c r="AJ27" s="1087"/>
      <c r="AK27" s="1087"/>
    </row>
    <row r="28" spans="1:70" x14ac:dyDescent="0.2">
      <c r="A28" s="1071"/>
      <c r="B28" s="44"/>
      <c r="C28" s="44"/>
      <c r="D28" s="44"/>
      <c r="E28" s="44"/>
      <c r="F28" s="44"/>
      <c r="G28" s="44"/>
      <c r="K28" s="1120" t="s">
        <v>1370</v>
      </c>
      <c r="L28" s="1121" t="s">
        <v>1371</v>
      </c>
      <c r="M28" s="1121" t="s">
        <v>1372</v>
      </c>
      <c r="N28" s="1122" t="s">
        <v>1373</v>
      </c>
      <c r="P28" s="1087"/>
      <c r="Q28" s="1086"/>
      <c r="R28" s="1086"/>
      <c r="S28" s="1086"/>
      <c r="T28" s="1086"/>
      <c r="U28" s="1086"/>
      <c r="V28" s="140"/>
      <c r="W28" s="1087"/>
      <c r="X28" s="1087"/>
      <c r="Y28" s="1087"/>
      <c r="Z28" s="1087"/>
      <c r="AA28" s="1087"/>
      <c r="AB28" s="1087"/>
      <c r="AC28" s="1087"/>
      <c r="AD28" s="1087"/>
      <c r="AE28" s="1087"/>
      <c r="AF28" s="1087"/>
      <c r="AG28" s="1094"/>
      <c r="AH28" s="1087"/>
      <c r="AI28" s="1094"/>
      <c r="AJ28" s="1087"/>
      <c r="AK28" s="1087"/>
    </row>
    <row r="29" spans="1:70" x14ac:dyDescent="0.2">
      <c r="A29" s="1078"/>
      <c r="B29" s="44"/>
      <c r="C29" s="44"/>
      <c r="D29" s="44"/>
      <c r="E29" s="44"/>
      <c r="F29" s="44"/>
      <c r="G29" s="44"/>
      <c r="K29" s="1123"/>
      <c r="L29" s="1123"/>
      <c r="M29" s="1123"/>
      <c r="N29" s="1078"/>
      <c r="P29" s="1087"/>
      <c r="Q29" s="1086"/>
      <c r="R29" s="1086"/>
      <c r="S29" s="1086"/>
      <c r="T29" s="1086"/>
      <c r="U29" s="1086"/>
      <c r="V29" s="140"/>
      <c r="W29" s="1087"/>
      <c r="X29" s="1087"/>
      <c r="Y29" s="1087"/>
      <c r="Z29" s="1087"/>
      <c r="AA29" s="1087"/>
      <c r="AB29" s="1087"/>
      <c r="AC29" s="1087"/>
      <c r="AD29" s="1087"/>
      <c r="AE29" s="1087"/>
      <c r="AF29" s="1087"/>
      <c r="AG29" s="1094"/>
      <c r="AH29" s="1087"/>
      <c r="AI29" s="1094"/>
      <c r="AJ29" s="1087"/>
      <c r="AK29" s="1087"/>
    </row>
    <row r="30" spans="1:70" x14ac:dyDescent="0.2">
      <c r="A30" s="1084" t="s">
        <v>1392</v>
      </c>
      <c r="B30" s="1152">
        <v>2405</v>
      </c>
      <c r="C30" s="28">
        <v>1227.599838056969</v>
      </c>
      <c r="D30" s="28">
        <v>3819.9650645657475</v>
      </c>
      <c r="E30" s="28">
        <v>7199.2163731032997</v>
      </c>
      <c r="F30" s="28">
        <v>11587.884230015945</v>
      </c>
      <c r="G30" s="44"/>
      <c r="I30">
        <v>6</v>
      </c>
      <c r="K30" s="1072">
        <v>0</v>
      </c>
      <c r="L30" s="1072">
        <v>0</v>
      </c>
      <c r="M30" s="1072">
        <v>3</v>
      </c>
      <c r="N30" s="1124">
        <v>3</v>
      </c>
      <c r="P30" s="1086">
        <v>100923.30180935774</v>
      </c>
      <c r="Q30" s="1086">
        <v>60000</v>
      </c>
      <c r="R30" s="1086">
        <v>-1345.400161943031</v>
      </c>
      <c r="S30" s="1086">
        <v>1246.9650645657475</v>
      </c>
      <c r="T30" s="1086">
        <v>4626.2163731032997</v>
      </c>
      <c r="U30" s="1086">
        <v>9014.8842300159449</v>
      </c>
      <c r="V30" s="140">
        <v>2573</v>
      </c>
      <c r="W30" s="1087"/>
      <c r="X30" s="1087"/>
      <c r="Y30" s="1094">
        <v>6</v>
      </c>
      <c r="Z30" s="1087">
        <v>25000</v>
      </c>
      <c r="AA30" s="1094">
        <v>6</v>
      </c>
      <c r="AB30" s="1087">
        <v>35000</v>
      </c>
      <c r="AC30" s="1089">
        <v>60000</v>
      </c>
      <c r="AD30" s="1090">
        <v>56361.301809357734</v>
      </c>
      <c r="AE30" s="1091">
        <v>116361.30180935774</v>
      </c>
      <c r="AF30" s="1125"/>
      <c r="AG30" s="1093">
        <v>19393.550301559622</v>
      </c>
      <c r="AH30" s="1087">
        <v>116361.30180935774</v>
      </c>
      <c r="AI30" s="1093">
        <v>6</v>
      </c>
      <c r="AJ30" s="1087">
        <v>19393.550301559622</v>
      </c>
      <c r="AK30" s="1087"/>
      <c r="AM30" s="1097">
        <v>0</v>
      </c>
      <c r="AN30" s="1097">
        <v>0</v>
      </c>
      <c r="AO30" s="1097">
        <v>3</v>
      </c>
      <c r="AP30" s="1097">
        <v>3</v>
      </c>
      <c r="AQ30" s="1097">
        <v>0</v>
      </c>
      <c r="AR30" s="1060">
        <v>6</v>
      </c>
      <c r="AT30" s="1098">
        <v>0</v>
      </c>
      <c r="AU30" s="1098">
        <v>0</v>
      </c>
      <c r="AV30" s="1098">
        <v>3</v>
      </c>
      <c r="AW30" s="1098">
        <v>3</v>
      </c>
      <c r="AX30" s="1098">
        <v>0</v>
      </c>
      <c r="AY30" s="1062">
        <v>6</v>
      </c>
      <c r="BA30" s="1099">
        <v>0</v>
      </c>
      <c r="BB30" s="1100">
        <v>0</v>
      </c>
      <c r="BC30" s="1100">
        <v>8999.0204663791246</v>
      </c>
      <c r="BD30" s="1099">
        <v>14484.855287519931</v>
      </c>
      <c r="BE30" s="1099">
        <v>0</v>
      </c>
      <c r="BF30" s="1099">
        <v>23483.875753899054</v>
      </c>
      <c r="BH30" s="1101">
        <v>0</v>
      </c>
      <c r="BI30" s="1101">
        <v>0</v>
      </c>
      <c r="BJ30" s="1101">
        <v>12598.628652930774</v>
      </c>
      <c r="BK30" s="1101">
        <v>20278.797402527904</v>
      </c>
      <c r="BL30" s="1101">
        <v>0</v>
      </c>
      <c r="BM30" s="1101">
        <v>32877.42605545868</v>
      </c>
      <c r="BO30" s="1102">
        <v>56361.301809357734</v>
      </c>
      <c r="BR30" s="22"/>
    </row>
    <row r="31" spans="1:70" x14ac:dyDescent="0.2">
      <c r="A31" s="1084" t="s">
        <v>1393</v>
      </c>
      <c r="B31" s="1152">
        <v>2434</v>
      </c>
      <c r="C31" s="28">
        <v>1227.599838056969</v>
      </c>
      <c r="D31" s="28">
        <v>3819.9650645657475</v>
      </c>
      <c r="E31" s="28">
        <v>7199.2163731032997</v>
      </c>
      <c r="F31" s="28">
        <v>11587.884230015945</v>
      </c>
      <c r="G31" s="44"/>
      <c r="I31">
        <v>12</v>
      </c>
      <c r="K31" s="1072">
        <v>0</v>
      </c>
      <c r="L31" s="1072">
        <v>0</v>
      </c>
      <c r="M31" s="1072">
        <v>9</v>
      </c>
      <c r="N31" s="1124">
        <v>3</v>
      </c>
      <c r="P31" s="1086">
        <v>188680.60004797752</v>
      </c>
      <c r="Q31" s="1086">
        <v>120000</v>
      </c>
      <c r="R31" s="1086">
        <v>-1345.400161943031</v>
      </c>
      <c r="S31" s="1086">
        <v>1246.9650645657475</v>
      </c>
      <c r="T31" s="1086">
        <v>4626.2163731032997</v>
      </c>
      <c r="U31" s="1086">
        <v>9014.8842300159449</v>
      </c>
      <c r="V31" s="140">
        <v>2573</v>
      </c>
      <c r="W31" s="1087"/>
      <c r="X31" s="1087"/>
      <c r="Y31" s="1094">
        <v>12</v>
      </c>
      <c r="Z31" s="1087">
        <v>50000</v>
      </c>
      <c r="AA31" s="1094">
        <v>12</v>
      </c>
      <c r="AB31" s="1087">
        <v>70000</v>
      </c>
      <c r="AC31" s="1089">
        <v>120000</v>
      </c>
      <c r="AD31" s="1090">
        <v>99556.600047977525</v>
      </c>
      <c r="AE31" s="1091">
        <v>219556.60004797752</v>
      </c>
      <c r="AF31" s="1125"/>
      <c r="AG31" s="1093">
        <v>18296.383337331459</v>
      </c>
      <c r="AH31" s="1087">
        <v>219556.60004797752</v>
      </c>
      <c r="AI31" s="1093">
        <v>12</v>
      </c>
      <c r="AJ31" s="1087">
        <v>18296.383337331459</v>
      </c>
      <c r="AK31" s="1087"/>
      <c r="AM31" s="1097">
        <v>0</v>
      </c>
      <c r="AN31" s="1097">
        <v>0</v>
      </c>
      <c r="AO31" s="1097">
        <v>9</v>
      </c>
      <c r="AP31" s="1097">
        <v>3</v>
      </c>
      <c r="AQ31" s="1097">
        <v>0</v>
      </c>
      <c r="AR31" s="1060">
        <v>12</v>
      </c>
      <c r="AT31" s="1098">
        <v>0</v>
      </c>
      <c r="AU31" s="1098">
        <v>0</v>
      </c>
      <c r="AV31" s="1098">
        <v>9</v>
      </c>
      <c r="AW31" s="1098">
        <v>3</v>
      </c>
      <c r="AX31" s="1098">
        <v>0</v>
      </c>
      <c r="AY31" s="1062">
        <v>12</v>
      </c>
      <c r="BA31" s="1099">
        <v>0</v>
      </c>
      <c r="BB31" s="1100">
        <v>0</v>
      </c>
      <c r="BC31" s="1100">
        <v>26997.061399137376</v>
      </c>
      <c r="BD31" s="1099">
        <v>14484.855287519931</v>
      </c>
      <c r="BE31" s="1099">
        <v>0</v>
      </c>
      <c r="BF31" s="1099">
        <v>41481.916686657307</v>
      </c>
      <c r="BH31" s="1101">
        <v>0</v>
      </c>
      <c r="BI31" s="1101">
        <v>0</v>
      </c>
      <c r="BJ31" s="1101">
        <v>37795.885958792322</v>
      </c>
      <c r="BK31" s="1101">
        <v>20278.797402527904</v>
      </c>
      <c r="BL31" s="1101">
        <v>0</v>
      </c>
      <c r="BM31" s="1101">
        <v>58074.683361320225</v>
      </c>
      <c r="BO31" s="1102">
        <v>99556.600047977525</v>
      </c>
      <c r="BR31" s="22"/>
    </row>
    <row r="32" spans="1:70" x14ac:dyDescent="0.2">
      <c r="A32" s="1071"/>
      <c r="B32" s="44"/>
      <c r="C32" s="44"/>
      <c r="D32" s="44"/>
      <c r="E32" s="44"/>
      <c r="F32" s="44"/>
      <c r="G32" s="44"/>
      <c r="K32" s="1126"/>
      <c r="L32" s="1126"/>
      <c r="M32" s="1126"/>
      <c r="N32" s="1071"/>
      <c r="Y32" s="42"/>
      <c r="AA32" s="42"/>
    </row>
    <row r="33" spans="1:51" customFormat="1" ht="13.5" thickBot="1" x14ac:dyDescent="0.25">
      <c r="A33" s="44"/>
      <c r="B33" s="44"/>
      <c r="C33" s="44"/>
      <c r="D33" s="44"/>
      <c r="E33" s="44"/>
      <c r="F33" s="44"/>
      <c r="G33" s="44"/>
      <c r="K33" s="44"/>
      <c r="L33" s="44"/>
      <c r="M33" s="44"/>
      <c r="N33" s="44"/>
      <c r="Y33" s="23">
        <v>18</v>
      </c>
      <c r="Z33" s="1127">
        <v>75000</v>
      </c>
      <c r="AA33" s="1128">
        <v>18</v>
      </c>
      <c r="AB33" s="1127">
        <v>105000</v>
      </c>
      <c r="AC33" s="1129">
        <v>180000</v>
      </c>
      <c r="AD33" s="1129">
        <v>155917.90185733527</v>
      </c>
      <c r="AE33" s="1129">
        <v>335917.90185733524</v>
      </c>
      <c r="AF33" s="1127"/>
      <c r="AG33" s="1130"/>
      <c r="AH33" s="1127">
        <v>335917.90185733524</v>
      </c>
      <c r="AI33" s="1130"/>
      <c r="AJ33" s="1127">
        <v>37689.933638891082</v>
      </c>
      <c r="AK33" s="1131"/>
    </row>
    <row r="34" spans="1:51" customFormat="1" x14ac:dyDescent="0.2">
      <c r="A34" s="44"/>
      <c r="B34" s="44"/>
      <c r="C34" s="44"/>
      <c r="D34" s="44"/>
      <c r="E34" s="44"/>
      <c r="F34" s="44"/>
      <c r="G34" s="44"/>
      <c r="K34" s="44"/>
      <c r="L34" s="44"/>
      <c r="M34" s="44"/>
      <c r="N34" s="44"/>
      <c r="Y34" s="23"/>
      <c r="Z34" s="1131"/>
      <c r="AA34" s="23"/>
      <c r="AB34" s="1131"/>
      <c r="AC34" s="1132"/>
      <c r="AD34" s="1131"/>
      <c r="AE34" s="1131"/>
      <c r="AF34" s="1131"/>
      <c r="AG34" s="42"/>
      <c r="AH34" s="1131"/>
      <c r="AI34" s="42"/>
      <c r="AJ34" s="1131"/>
      <c r="AK34" s="1131"/>
    </row>
    <row r="35" spans="1:51" customFormat="1" x14ac:dyDescent="0.2">
      <c r="A35" s="44"/>
      <c r="B35" s="44"/>
      <c r="C35" s="44"/>
      <c r="D35" s="44"/>
      <c r="E35" s="44"/>
      <c r="F35" s="44"/>
      <c r="G35" s="44"/>
      <c r="K35" s="44"/>
      <c r="L35" s="44"/>
      <c r="M35" s="44"/>
      <c r="N35" s="44"/>
      <c r="Y35" s="23"/>
      <c r="Z35" s="1131"/>
      <c r="AA35" s="23"/>
      <c r="AB35" s="1131"/>
      <c r="AC35" s="1132"/>
      <c r="AD35" s="1131"/>
      <c r="AE35" s="1131"/>
      <c r="AF35" s="1131"/>
      <c r="AG35" s="42"/>
      <c r="AH35" s="1131">
        <v>4552897.549180516</v>
      </c>
      <c r="AI35" s="42"/>
      <c r="AJ35" s="1131"/>
      <c r="AK35" s="1131"/>
      <c r="AR35">
        <v>193</v>
      </c>
      <c r="AY35">
        <v>194</v>
      </c>
    </row>
    <row r="36" spans="1:51" customFormat="1" x14ac:dyDescent="0.2">
      <c r="A36" t="s">
        <v>1394</v>
      </c>
      <c r="I36" s="1133">
        <v>8654.599838056969</v>
      </c>
      <c r="K36" s="254"/>
      <c r="Y36" s="1133">
        <v>8654.599838056969</v>
      </c>
      <c r="AA36" s="58"/>
      <c r="AC36" s="1134">
        <v>2680000</v>
      </c>
      <c r="AD36" s="1134">
        <v>1359364.3927867119</v>
      </c>
      <c r="AE36" s="1135">
        <v>4039364.3927867115</v>
      </c>
      <c r="AG36" s="42"/>
      <c r="AI36" s="42"/>
    </row>
    <row r="37" spans="1:51" customFormat="1" x14ac:dyDescent="0.2">
      <c r="A37" t="s">
        <v>1371</v>
      </c>
      <c r="I37" s="1133">
        <v>11246.965064565748</v>
      </c>
      <c r="K37" s="254"/>
      <c r="Y37" s="1133">
        <v>11246.965064565748</v>
      </c>
      <c r="AG37" s="42"/>
      <c r="AI37" s="42"/>
    </row>
    <row r="38" spans="1:51" customFormat="1" x14ac:dyDescent="0.2">
      <c r="A38" t="s">
        <v>1372</v>
      </c>
      <c r="I38" s="1133">
        <v>14626.2163731033</v>
      </c>
      <c r="K38" s="254"/>
      <c r="Y38" s="1133">
        <v>14626.2163731033</v>
      </c>
      <c r="AG38" s="42"/>
      <c r="AI38" s="42"/>
    </row>
    <row r="39" spans="1:51" customFormat="1" x14ac:dyDescent="0.2">
      <c r="A39" t="s">
        <v>1373</v>
      </c>
      <c r="I39" s="1133">
        <v>19014.884230015945</v>
      </c>
      <c r="K39" s="254"/>
      <c r="Y39" s="1133">
        <v>19014.884230015945</v>
      </c>
      <c r="AG39" s="42"/>
      <c r="AI39" s="42"/>
    </row>
    <row r="40" spans="1:51" customFormat="1" x14ac:dyDescent="0.2">
      <c r="I40" s="1133"/>
      <c r="K40" s="254"/>
      <c r="Y40" s="1136"/>
      <c r="AG40" s="42"/>
      <c r="AI40" s="42"/>
    </row>
    <row r="41" spans="1:51" customFormat="1" x14ac:dyDescent="0.2">
      <c r="I41" s="1133"/>
      <c r="K41" s="254"/>
      <c r="Y41" s="1136"/>
      <c r="AG41" s="42"/>
      <c r="AI41" s="42"/>
    </row>
    <row r="42" spans="1:51" customFormat="1" x14ac:dyDescent="0.2">
      <c r="A42" s="741" t="s">
        <v>169</v>
      </c>
      <c r="AE42" s="1131">
        <v>2486398.0926187793</v>
      </c>
      <c r="AG42" s="42"/>
      <c r="AI42" s="42"/>
    </row>
    <row r="43" spans="1:51" customFormat="1" x14ac:dyDescent="0.2">
      <c r="A43" s="741" t="s">
        <v>221</v>
      </c>
      <c r="AE43" s="1131">
        <v>1552966.3001679322</v>
      </c>
      <c r="AG43" s="42"/>
      <c r="AI43" s="42"/>
    </row>
    <row r="44" spans="1:51" customFormat="1" x14ac:dyDescent="0.2">
      <c r="AE44" s="1132">
        <v>4039364.3927867115</v>
      </c>
      <c r="AG44" s="42"/>
      <c r="AI44" s="42"/>
    </row>
    <row r="52" spans="2:67" x14ac:dyDescent="0.2">
      <c r="B52">
        <v>1</v>
      </c>
      <c r="C52">
        <v>2</v>
      </c>
      <c r="D52">
        <v>3</v>
      </c>
      <c r="E52">
        <v>4</v>
      </c>
      <c r="F52">
        <v>5</v>
      </c>
      <c r="G52">
        <v>6</v>
      </c>
      <c r="H52">
        <v>7</v>
      </c>
      <c r="I52">
        <v>8</v>
      </c>
      <c r="J52">
        <v>9</v>
      </c>
      <c r="K52">
        <v>10</v>
      </c>
      <c r="L52">
        <v>11</v>
      </c>
      <c r="M52">
        <v>12</v>
      </c>
      <c r="N52">
        <v>13</v>
      </c>
      <c r="O52">
        <v>14</v>
      </c>
      <c r="P52">
        <v>15</v>
      </c>
      <c r="Q52">
        <v>16</v>
      </c>
      <c r="R52">
        <v>17</v>
      </c>
      <c r="S52">
        <v>18</v>
      </c>
      <c r="T52">
        <v>19</v>
      </c>
      <c r="U52">
        <v>20</v>
      </c>
      <c r="V52">
        <v>21</v>
      </c>
      <c r="W52">
        <v>22</v>
      </c>
      <c r="X52">
        <v>23</v>
      </c>
      <c r="Y52">
        <v>24</v>
      </c>
      <c r="Z52">
        <v>25</v>
      </c>
      <c r="AA52">
        <v>26</v>
      </c>
      <c r="AB52">
        <v>27</v>
      </c>
      <c r="AC52">
        <v>28</v>
      </c>
      <c r="AD52">
        <v>29</v>
      </c>
      <c r="AE52">
        <v>30</v>
      </c>
      <c r="AF52">
        <v>31</v>
      </c>
      <c r="AG52">
        <v>32</v>
      </c>
      <c r="AH52">
        <v>33</v>
      </c>
      <c r="AI52">
        <v>34</v>
      </c>
      <c r="AJ52">
        <v>35</v>
      </c>
      <c r="AK52">
        <v>36</v>
      </c>
      <c r="AL52">
        <v>37</v>
      </c>
      <c r="AM52">
        <v>38</v>
      </c>
      <c r="AN52">
        <v>39</v>
      </c>
      <c r="AO52">
        <v>40</v>
      </c>
      <c r="AP52">
        <v>41</v>
      </c>
      <c r="AQ52">
        <v>42</v>
      </c>
      <c r="AR52">
        <v>43</v>
      </c>
      <c r="AS52">
        <v>44</v>
      </c>
      <c r="AT52">
        <v>45</v>
      </c>
      <c r="AU52">
        <v>46</v>
      </c>
      <c r="AV52">
        <v>47</v>
      </c>
      <c r="AW52">
        <v>48</v>
      </c>
      <c r="AX52">
        <v>49</v>
      </c>
      <c r="AY52">
        <v>50</v>
      </c>
      <c r="AZ52">
        <v>51</v>
      </c>
      <c r="BA52">
        <v>52</v>
      </c>
      <c r="BB52">
        <v>53</v>
      </c>
      <c r="BC52">
        <v>54</v>
      </c>
      <c r="BD52">
        <v>55</v>
      </c>
      <c r="BE52">
        <v>56</v>
      </c>
      <c r="BF52">
        <v>57</v>
      </c>
      <c r="BG52">
        <v>58</v>
      </c>
      <c r="BH52">
        <v>59</v>
      </c>
      <c r="BI52">
        <v>60</v>
      </c>
      <c r="BJ52">
        <v>61</v>
      </c>
      <c r="BK52">
        <v>62</v>
      </c>
      <c r="BL52">
        <v>63</v>
      </c>
      <c r="BM52">
        <v>64</v>
      </c>
      <c r="BN52">
        <v>65</v>
      </c>
      <c r="BO52">
        <v>66</v>
      </c>
    </row>
  </sheetData>
  <sheetProtection password="EF5C" sheet="1" objects="1" scenarios="1"/>
  <mergeCells count="4">
    <mergeCell ref="R2:U2"/>
    <mergeCell ref="V2:X2"/>
    <mergeCell ref="Y4:Z4"/>
    <mergeCell ref="AA4:AB4"/>
  </mergeCells>
  <pageMargins left="0.11811023622047245" right="0.11811023622047245" top="0.74803149606299213" bottom="0.74803149606299213" header="0.31496062992125984" footer="0.31496062992125984"/>
  <pageSetup paperSize="9" scale="50" orientation="landscape" r:id="rId1"/>
  <headerFooter>
    <oddHeader>&amp;C&amp;Z&amp;F</oddHeader>
  </headerFooter>
  <colBreaks count="1" manualBreakCount="1">
    <brk id="38" max="43"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24"/>
  <sheetViews>
    <sheetView zoomScaleNormal="100" workbookViewId="0">
      <pane xSplit="3" ySplit="1" topLeftCell="D101" activePane="bottomRight" state="frozen"/>
      <selection activeCell="B3" sqref="B3:D3"/>
      <selection pane="topRight" activeCell="B3" sqref="B3:D3"/>
      <selection pane="bottomLeft" activeCell="B3" sqref="B3:D3"/>
      <selection pane="bottomRight" activeCell="C112" sqref="C112:C124"/>
    </sheetView>
  </sheetViews>
  <sheetFormatPr defaultRowHeight="12.75" x14ac:dyDescent="0.2"/>
  <cols>
    <col min="1" max="1" width="38.28515625" bestFit="1" customWidth="1"/>
    <col min="2" max="2" width="11" style="1" customWidth="1"/>
    <col min="3" max="3" width="9.5703125" style="1" customWidth="1"/>
    <col min="4" max="4" width="20.7109375" style="1" customWidth="1"/>
    <col min="5" max="5" width="20.7109375" style="6" customWidth="1"/>
    <col min="6" max="6" width="20.7109375" style="1" customWidth="1"/>
    <col min="7" max="7" width="20.7109375" style="6" customWidth="1"/>
    <col min="8" max="8" width="20.7109375" style="1" customWidth="1"/>
    <col min="9" max="11" width="20.7109375" style="6" customWidth="1"/>
    <col min="12" max="12" width="20.7109375" style="1" customWidth="1"/>
    <col min="13" max="13" width="20.7109375" style="6" customWidth="1"/>
    <col min="14" max="14" width="16.140625" style="1" bestFit="1" customWidth="1"/>
    <col min="15" max="15" width="12.7109375" style="6" customWidth="1"/>
    <col min="16" max="16" width="12.5703125" style="6" customWidth="1"/>
    <col min="17" max="17" width="9.140625" style="4"/>
    <col min="18" max="18" width="9.7109375" style="6" customWidth="1"/>
    <col min="21" max="21" width="10.140625" style="4" bestFit="1" customWidth="1"/>
    <col min="22" max="22" width="9.140625" style="42"/>
    <col min="23" max="23" width="10.5703125" customWidth="1"/>
    <col min="24" max="24" width="9.140625" style="147"/>
    <col min="25" max="25" width="9.7109375" style="6" bestFit="1" customWidth="1"/>
    <col min="26" max="27" width="9.140625" style="1170"/>
    <col min="28" max="28" width="11.140625" style="147" bestFit="1" customWidth="1"/>
    <col min="29" max="30" width="10.140625" style="147" bestFit="1" customWidth="1"/>
    <col min="31" max="31" width="28.140625" bestFit="1" customWidth="1"/>
  </cols>
  <sheetData>
    <row r="1" spans="1:33" s="16" customFormat="1" ht="63.75" x14ac:dyDescent="0.2">
      <c r="B1" s="813" t="s">
        <v>1405</v>
      </c>
      <c r="C1" s="813" t="s">
        <v>1406</v>
      </c>
      <c r="D1" s="1149" t="s">
        <v>1404</v>
      </c>
      <c r="E1" s="1158" t="s">
        <v>1409</v>
      </c>
      <c r="F1" s="1149" t="s">
        <v>1402</v>
      </c>
      <c r="G1" s="1158" t="s">
        <v>1414</v>
      </c>
      <c r="H1" s="1149" t="s">
        <v>1408</v>
      </c>
      <c r="I1" s="1158" t="s">
        <v>1400</v>
      </c>
      <c r="J1" s="1158" t="s">
        <v>1401</v>
      </c>
      <c r="K1" s="1158" t="s">
        <v>1403</v>
      </c>
      <c r="L1" s="699"/>
      <c r="M1" s="1162" t="s">
        <v>1412</v>
      </c>
      <c r="N1" s="813"/>
      <c r="O1" s="1162" t="s">
        <v>1410</v>
      </c>
      <c r="P1" s="1162" t="s">
        <v>1411</v>
      </c>
      <c r="Q1" s="1163"/>
      <c r="R1" s="1162" t="s">
        <v>1413</v>
      </c>
      <c r="U1" s="1165" t="s">
        <v>1416</v>
      </c>
      <c r="V1" s="143" t="s">
        <v>1421</v>
      </c>
      <c r="W1" s="17" t="s">
        <v>1417</v>
      </c>
      <c r="X1" s="1172" t="s">
        <v>1425</v>
      </c>
      <c r="Y1" s="1162" t="s">
        <v>1428</v>
      </c>
      <c r="Z1" s="1173"/>
      <c r="AA1" s="1173"/>
      <c r="AB1" s="1077" t="s">
        <v>1427</v>
      </c>
      <c r="AC1" s="1172" t="s">
        <v>1423</v>
      </c>
      <c r="AD1" s="1172" t="s">
        <v>1424</v>
      </c>
      <c r="AE1" s="1169" t="s">
        <v>372</v>
      </c>
    </row>
    <row r="2" spans="1:33" x14ac:dyDescent="0.2">
      <c r="A2" s="771" t="s">
        <v>5</v>
      </c>
      <c r="B2" s="1153" t="s">
        <v>1418</v>
      </c>
      <c r="C2" s="1152">
        <v>2442</v>
      </c>
      <c r="D2" s="1150">
        <v>12</v>
      </c>
      <c r="E2" s="1160">
        <v>120000</v>
      </c>
      <c r="F2" s="1">
        <v>2</v>
      </c>
      <c r="G2" s="6">
        <v>20000</v>
      </c>
      <c r="H2" s="1">
        <v>8</v>
      </c>
      <c r="I2" s="6">
        <v>54214.479676288844</v>
      </c>
      <c r="J2" s="6">
        <v>0</v>
      </c>
      <c r="K2" s="6">
        <v>0</v>
      </c>
      <c r="L2" s="1184" t="s">
        <v>1452</v>
      </c>
      <c r="M2" s="6">
        <v>194214.47967628884</v>
      </c>
      <c r="N2" s="1153" t="s">
        <v>1453</v>
      </c>
      <c r="O2" s="6">
        <v>69494.339934551826</v>
      </c>
      <c r="P2" s="6">
        <v>189494.33993455183</v>
      </c>
      <c r="R2" s="6">
        <v>-4720.1397417370172</v>
      </c>
      <c r="S2" s="741" t="s">
        <v>1415</v>
      </c>
      <c r="U2" s="4">
        <v>184491.52137222089</v>
      </c>
      <c r="V2" s="42">
        <v>30831.637545696343</v>
      </c>
      <c r="W2" s="4">
        <v>215323.15891791723</v>
      </c>
      <c r="X2" s="147">
        <v>14</v>
      </c>
      <c r="Y2" s="6">
        <v>-4931.6322906227724</v>
      </c>
      <c r="AB2" s="147">
        <v>-9651.7720323597896</v>
      </c>
      <c r="AC2" s="147">
        <v>16184.53997302407</v>
      </c>
      <c r="AD2" s="147">
        <v>15380.225636994088</v>
      </c>
      <c r="AE2" s="741" t="s">
        <v>1426</v>
      </c>
      <c r="AG2" s="42">
        <v>-9651.772032359775</v>
      </c>
    </row>
    <row r="3" spans="1:33" x14ac:dyDescent="0.2">
      <c r="A3" s="771" t="s">
        <v>6</v>
      </c>
      <c r="B3" s="1153" t="s">
        <v>1418</v>
      </c>
      <c r="C3" s="1152">
        <v>2629</v>
      </c>
      <c r="D3" s="1150">
        <v>10</v>
      </c>
      <c r="E3" s="1160">
        <v>100000</v>
      </c>
      <c r="G3" s="6">
        <v>0</v>
      </c>
      <c r="H3" s="1">
        <v>3</v>
      </c>
      <c r="I3" s="6">
        <v>34763.652690047835</v>
      </c>
      <c r="J3" s="6">
        <v>0</v>
      </c>
      <c r="K3" s="6">
        <v>37886.925925947959</v>
      </c>
      <c r="L3" s="6"/>
      <c r="M3" s="6">
        <v>172650.57861599579</v>
      </c>
      <c r="O3" s="6">
        <v>72650.578615995808</v>
      </c>
      <c r="P3" s="6">
        <v>172650.57861599582</v>
      </c>
      <c r="R3" s="6">
        <v>0</v>
      </c>
      <c r="U3" s="4">
        <v>146920.57861599582</v>
      </c>
      <c r="V3" s="42">
        <v>25693.031288080289</v>
      </c>
      <c r="W3" s="4">
        <v>172613.60990407612</v>
      </c>
      <c r="X3" s="147">
        <v>10</v>
      </c>
      <c r="Y3" s="6">
        <v>-36.968711919704219</v>
      </c>
      <c r="Z3" s="1170">
        <v>3789.6558982946494</v>
      </c>
      <c r="AA3" s="1170" t="s">
        <v>167</v>
      </c>
      <c r="AB3" s="754">
        <v>-36.968711919675115</v>
      </c>
      <c r="AC3" s="147">
        <v>17265.05786159958</v>
      </c>
      <c r="AD3" s="147">
        <v>17261.360990407611</v>
      </c>
      <c r="AG3" s="42">
        <v>37849.957214028269</v>
      </c>
    </row>
    <row r="4" spans="1:33" x14ac:dyDescent="0.2">
      <c r="A4" s="771" t="s">
        <v>79</v>
      </c>
      <c r="B4" s="1153" t="s">
        <v>167</v>
      </c>
      <c r="C4" s="1152">
        <v>4177</v>
      </c>
      <c r="D4" s="1150">
        <v>42</v>
      </c>
      <c r="E4" s="1160">
        <v>420000</v>
      </c>
      <c r="G4" s="6">
        <v>0</v>
      </c>
      <c r="H4" s="1">
        <v>36</v>
      </c>
      <c r="I4" s="6">
        <v>166671.63962154443</v>
      </c>
      <c r="J4" s="6">
        <v>7181.5649026227165</v>
      </c>
      <c r="K4" s="6">
        <v>26306.362875338178</v>
      </c>
      <c r="L4" s="6"/>
      <c r="M4" s="6">
        <v>620159.56739950529</v>
      </c>
      <c r="O4" s="6">
        <v>200159.56739950523</v>
      </c>
      <c r="P4" s="6">
        <v>620159.56739950529</v>
      </c>
      <c r="R4" s="6">
        <v>0</v>
      </c>
      <c r="U4" s="4">
        <v>424905.67541130533</v>
      </c>
      <c r="V4" s="42">
        <v>159165.54772837527</v>
      </c>
      <c r="W4" s="4">
        <v>584071.22313968057</v>
      </c>
      <c r="X4" s="147">
        <v>38.833333333333329</v>
      </c>
      <c r="Y4" s="6">
        <v>11539.781232252368</v>
      </c>
      <c r="Z4" s="1170">
        <v>3326.3930074312998</v>
      </c>
      <c r="AA4" s="1170" t="s">
        <v>168</v>
      </c>
      <c r="AB4" s="147">
        <v>11539.781232252368</v>
      </c>
      <c r="AC4" s="147">
        <v>14765.703985702507</v>
      </c>
      <c r="AD4" s="147">
        <v>15040.460681708515</v>
      </c>
      <c r="AG4" s="42">
        <v>37846.144107590539</v>
      </c>
    </row>
    <row r="5" spans="1:33" x14ac:dyDescent="0.2">
      <c r="A5" s="771" t="s">
        <v>14</v>
      </c>
      <c r="B5" s="1153" t="s">
        <v>1418</v>
      </c>
      <c r="C5" s="1152">
        <v>2433</v>
      </c>
      <c r="D5" s="1150">
        <v>34</v>
      </c>
      <c r="E5" s="1160">
        <v>340000</v>
      </c>
      <c r="G5" s="6">
        <v>0</v>
      </c>
      <c r="H5" s="1">
        <v>25</v>
      </c>
      <c r="I5" s="6">
        <v>201923.74861214572</v>
      </c>
      <c r="J5" s="6">
        <v>0</v>
      </c>
      <c r="K5" s="6">
        <v>37758.936889629345</v>
      </c>
      <c r="L5" s="6"/>
      <c r="M5" s="6">
        <v>579682.68550177501</v>
      </c>
      <c r="O5" s="6">
        <v>239682.68550177501</v>
      </c>
      <c r="P5" s="6">
        <v>579682.68550177501</v>
      </c>
      <c r="R5" s="6">
        <v>0</v>
      </c>
      <c r="U5" s="4">
        <v>492200.68550177501</v>
      </c>
      <c r="V5" s="42">
        <v>87356.306379472982</v>
      </c>
      <c r="W5" s="4">
        <v>579556.99188124796</v>
      </c>
      <c r="X5" s="147">
        <v>34</v>
      </c>
      <c r="Y5" s="6">
        <v>-125.69362052704673</v>
      </c>
      <c r="Z5" s="1170">
        <v>2569.3031288080288</v>
      </c>
      <c r="AA5" s="1170" t="s">
        <v>1418</v>
      </c>
      <c r="AB5" s="147">
        <v>-125.69362052704673</v>
      </c>
      <c r="AC5" s="147">
        <v>17049.490750052206</v>
      </c>
      <c r="AD5" s="147">
        <v>17045.793878860233</v>
      </c>
      <c r="AG5" s="42">
        <v>37633.243269102226</v>
      </c>
    </row>
    <row r="6" spans="1:33" x14ac:dyDescent="0.2">
      <c r="A6" s="771" t="s">
        <v>15</v>
      </c>
      <c r="B6" s="1153" t="s">
        <v>1418</v>
      </c>
      <c r="C6" s="1152">
        <v>2432</v>
      </c>
      <c r="D6" s="1150">
        <v>46</v>
      </c>
      <c r="E6" s="1160">
        <v>460000</v>
      </c>
      <c r="G6" s="6">
        <v>0</v>
      </c>
      <c r="H6" s="1">
        <v>38</v>
      </c>
      <c r="I6" s="6">
        <v>251232.29278808815</v>
      </c>
      <c r="J6" s="6">
        <v>0</v>
      </c>
      <c r="K6" s="6">
        <v>30559.720516526024</v>
      </c>
      <c r="L6" s="6"/>
      <c r="M6" s="6">
        <v>741792.01330461423</v>
      </c>
      <c r="O6" s="6">
        <v>281792.01330461411</v>
      </c>
      <c r="P6" s="6">
        <v>741792.01330461411</v>
      </c>
      <c r="R6" s="6">
        <v>0</v>
      </c>
      <c r="U6" s="4">
        <v>623434.01330461411</v>
      </c>
      <c r="V6" s="42">
        <v>118187.94392516933</v>
      </c>
      <c r="W6" s="4">
        <v>741621.95722978341</v>
      </c>
      <c r="X6" s="147">
        <v>46</v>
      </c>
      <c r="Y6" s="6">
        <v>-170.05607483070344</v>
      </c>
      <c r="Z6" s="1170">
        <v>2450.3294975227932</v>
      </c>
      <c r="AA6" s="1170" t="s">
        <v>1419</v>
      </c>
      <c r="AB6" s="147">
        <v>-170.05607483081985</v>
      </c>
      <c r="AC6" s="147">
        <v>16125.913332709006</v>
      </c>
      <c r="AD6" s="147">
        <v>16122.216461517031</v>
      </c>
      <c r="AG6" s="42">
        <v>30389.664441695233</v>
      </c>
    </row>
    <row r="7" spans="1:33" x14ac:dyDescent="0.2">
      <c r="A7" s="772" t="s">
        <v>328</v>
      </c>
      <c r="B7" s="1153" t="s">
        <v>167</v>
      </c>
      <c r="C7" s="1152">
        <v>4181</v>
      </c>
      <c r="D7" s="1150">
        <v>12</v>
      </c>
      <c r="E7" s="1160">
        <v>120000</v>
      </c>
      <c r="G7" s="6">
        <v>0</v>
      </c>
      <c r="H7" s="1">
        <v>12</v>
      </c>
      <c r="I7" s="6">
        <v>27535.198056683628</v>
      </c>
      <c r="J7" s="6">
        <v>0</v>
      </c>
      <c r="K7" s="6">
        <v>0</v>
      </c>
      <c r="L7" s="1184" t="s">
        <v>1452</v>
      </c>
      <c r="M7" s="6">
        <v>147535.19805668364</v>
      </c>
      <c r="O7" s="6">
        <v>27535.198056683628</v>
      </c>
      <c r="P7" s="6">
        <v>147535.19805668364</v>
      </c>
      <c r="R7" s="6">
        <v>0</v>
      </c>
      <c r="S7" s="741" t="s">
        <v>1422</v>
      </c>
      <c r="U7" s="4">
        <v>132703.86418354019</v>
      </c>
      <c r="V7" s="42">
        <v>45475.870779535791</v>
      </c>
      <c r="W7" s="4">
        <v>178179.73496307599</v>
      </c>
      <c r="X7" s="147">
        <v>15.333333333333334</v>
      </c>
      <c r="Y7" s="6">
        <v>-8090.1880855807103</v>
      </c>
      <c r="Z7" s="1170">
        <v>2906.7795787694736</v>
      </c>
      <c r="AA7" s="1170" t="s">
        <v>1420</v>
      </c>
      <c r="AB7" s="147">
        <v>-8090.1880855807103</v>
      </c>
      <c r="AC7" s="147">
        <v>12294.599838056971</v>
      </c>
      <c r="AD7" s="147">
        <v>11620.417497591912</v>
      </c>
      <c r="AE7" s="741" t="s">
        <v>1429</v>
      </c>
      <c r="AG7" s="42">
        <v>-8090.1880855807103</v>
      </c>
    </row>
    <row r="8" spans="1:33" x14ac:dyDescent="0.2">
      <c r="A8" s="771" t="s">
        <v>38</v>
      </c>
      <c r="B8" s="1153" t="s">
        <v>1418</v>
      </c>
      <c r="C8" s="1152">
        <v>2436</v>
      </c>
      <c r="D8" s="1150">
        <v>10</v>
      </c>
      <c r="E8" s="1160">
        <v>100000</v>
      </c>
      <c r="G8" s="6">
        <v>0</v>
      </c>
      <c r="H8" s="1">
        <v>2</v>
      </c>
      <c r="I8" s="6">
        <v>23175.76846003189</v>
      </c>
      <c r="J8" s="6">
        <v>34763.652690047835</v>
      </c>
      <c r="K8" s="6">
        <v>57939.42115007971</v>
      </c>
      <c r="L8" s="6"/>
      <c r="M8" s="6">
        <v>215878.84230015945</v>
      </c>
      <c r="O8" s="6">
        <v>115878.84230015943</v>
      </c>
      <c r="P8" s="6">
        <v>215878.84230015945</v>
      </c>
      <c r="R8" s="6">
        <v>0</v>
      </c>
      <c r="U8" s="4">
        <v>205994.57915850607</v>
      </c>
      <c r="V8" s="42">
        <v>25693.031288080289</v>
      </c>
      <c r="W8" s="4">
        <v>231687.61044658636</v>
      </c>
      <c r="X8" s="147">
        <v>10.833333333333334</v>
      </c>
      <c r="Y8" s="6">
        <v>-2013.355734079727</v>
      </c>
      <c r="AB8" s="754">
        <v>-2013.355734079727</v>
      </c>
      <c r="AC8" s="147">
        <v>21587.884230015945</v>
      </c>
      <c r="AD8" s="147">
        <v>21386.548656607971</v>
      </c>
      <c r="AG8" s="42">
        <v>55926.065415999998</v>
      </c>
    </row>
    <row r="9" spans="1:33" x14ac:dyDescent="0.2">
      <c r="A9" s="771" t="s">
        <v>53</v>
      </c>
      <c r="B9" s="1153" t="s">
        <v>1418</v>
      </c>
      <c r="C9" s="1152">
        <v>2000</v>
      </c>
      <c r="D9" s="1150">
        <v>27</v>
      </c>
      <c r="E9" s="1160">
        <v>270000</v>
      </c>
      <c r="G9" s="6">
        <v>0</v>
      </c>
      <c r="H9" s="1">
        <v>21</v>
      </c>
      <c r="I9" s="6">
        <v>195170.24853484187</v>
      </c>
      <c r="J9" s="6">
        <v>0</v>
      </c>
      <c r="K9" s="6">
        <v>15151.871221944282</v>
      </c>
      <c r="L9" s="6"/>
      <c r="M9" s="6">
        <v>480322.11975678615</v>
      </c>
      <c r="O9" s="6">
        <v>210322.11975678615</v>
      </c>
      <c r="P9" s="6">
        <v>480322.11975678615</v>
      </c>
      <c r="R9" s="6">
        <v>0</v>
      </c>
      <c r="U9" s="4">
        <v>410850.88821681798</v>
      </c>
      <c r="V9" s="42">
        <v>69371.184477816772</v>
      </c>
      <c r="W9" s="4">
        <v>480222.07269463479</v>
      </c>
      <c r="X9" s="147">
        <v>28</v>
      </c>
      <c r="Y9" s="6">
        <v>-17250.835372673988</v>
      </c>
      <c r="AB9" s="147">
        <v>-17250.835372673988</v>
      </c>
      <c r="AC9" s="147">
        <v>17789.708139140228</v>
      </c>
      <c r="AD9" s="147">
        <v>17150.788310522672</v>
      </c>
      <c r="AE9" s="741" t="s">
        <v>1429</v>
      </c>
      <c r="AG9" s="42">
        <v>-2098.9641507297129</v>
      </c>
    </row>
    <row r="10" spans="1:33" x14ac:dyDescent="0.2">
      <c r="A10" s="773" t="s">
        <v>625</v>
      </c>
      <c r="B10" s="1153" t="s">
        <v>167</v>
      </c>
      <c r="C10" s="1152">
        <v>4607</v>
      </c>
      <c r="D10" s="1150">
        <v>37</v>
      </c>
      <c r="E10" s="1160">
        <v>370000</v>
      </c>
      <c r="G10" s="6">
        <v>0</v>
      </c>
      <c r="H10" s="1">
        <v>0</v>
      </c>
      <c r="I10" s="6">
        <v>192138.99888971657</v>
      </c>
      <c r="J10" s="6">
        <v>27197.065667684994</v>
      </c>
      <c r="K10" s="6">
        <v>115450.52660637106</v>
      </c>
      <c r="L10" s="6"/>
      <c r="M10" s="6">
        <v>704786.59116377262</v>
      </c>
      <c r="O10" s="6">
        <v>334786.59116377262</v>
      </c>
      <c r="P10" s="6">
        <v>704786.59116377262</v>
      </c>
      <c r="R10" s="6">
        <v>0</v>
      </c>
      <c r="U10" s="4">
        <v>560475.59116377262</v>
      </c>
      <c r="V10" s="42">
        <v>140217.26823690202</v>
      </c>
      <c r="W10" s="4">
        <v>700692.8594006747</v>
      </c>
      <c r="X10" s="147">
        <v>37</v>
      </c>
      <c r="Y10" s="6">
        <v>-4093.7317630979232</v>
      </c>
      <c r="AB10" s="754">
        <v>-4093.7317630979232</v>
      </c>
      <c r="AC10" s="147">
        <v>19048.28624766953</v>
      </c>
      <c r="AD10" s="147">
        <v>18937.644848666885</v>
      </c>
      <c r="AG10" s="42">
        <v>111356.79484327319</v>
      </c>
    </row>
    <row r="11" spans="1:33" x14ac:dyDescent="0.2">
      <c r="A11" s="773" t="s">
        <v>624</v>
      </c>
      <c r="B11" s="1153" t="s">
        <v>167</v>
      </c>
      <c r="C11" s="1152">
        <v>5414</v>
      </c>
      <c r="D11" s="1150">
        <v>20</v>
      </c>
      <c r="E11" s="1160">
        <v>200000</v>
      </c>
      <c r="G11" s="6">
        <v>0</v>
      </c>
      <c r="H11" s="1">
        <v>0</v>
      </c>
      <c r="I11" s="6">
        <v>56620.463599987488</v>
      </c>
      <c r="J11" s="6">
        <v>7579.1171748014767</v>
      </c>
      <c r="K11" s="6">
        <v>42799.720516526024</v>
      </c>
      <c r="L11" s="6"/>
      <c r="M11" s="6">
        <v>306999.301291315</v>
      </c>
      <c r="O11" s="6">
        <v>106999.30129131494</v>
      </c>
      <c r="P11" s="6">
        <v>306999.30129131494</v>
      </c>
      <c r="R11" s="6">
        <v>0</v>
      </c>
      <c r="U11" s="4">
        <v>224939.30129131494</v>
      </c>
      <c r="V11" s="42">
        <v>75793.11796589299</v>
      </c>
      <c r="W11" s="4">
        <v>300732.41925720795</v>
      </c>
      <c r="X11" s="147">
        <v>20</v>
      </c>
      <c r="Y11" s="6">
        <v>-6266.882034106995</v>
      </c>
      <c r="AB11" s="147">
        <v>-6266.8820341070532</v>
      </c>
      <c r="AC11" s="147">
        <v>15349.965064565749</v>
      </c>
      <c r="AD11" s="147">
        <v>15036.620962860397</v>
      </c>
      <c r="AG11" s="42">
        <v>36532.838482419014</v>
      </c>
    </row>
    <row r="12" spans="1:33" ht="13.5" thickBot="1" x14ac:dyDescent="0.25">
      <c r="D12" s="1151">
        <v>250</v>
      </c>
      <c r="E12" s="138">
        <v>2500000</v>
      </c>
      <c r="F12" s="1151">
        <v>2</v>
      </c>
      <c r="G12" s="138">
        <v>20000</v>
      </c>
      <c r="H12" s="1151">
        <v>145</v>
      </c>
      <c r="I12" s="138">
        <v>1203446.4909293766</v>
      </c>
      <c r="J12" s="138">
        <v>76721.400435157018</v>
      </c>
      <c r="K12" s="138">
        <v>363853.48570236255</v>
      </c>
      <c r="M12" s="138">
        <v>4164021.3770668963</v>
      </c>
      <c r="O12" s="138">
        <v>1659301.2373251587</v>
      </c>
      <c r="P12" s="138">
        <v>4159301.2373251589</v>
      </c>
      <c r="R12" s="138">
        <v>-4720.1397417370172</v>
      </c>
      <c r="U12" s="138">
        <v>3406916.6982198632</v>
      </c>
      <c r="V12" s="1166">
        <v>777784.93961502204</v>
      </c>
      <c r="W12" s="138">
        <v>4184701.6378348852</v>
      </c>
      <c r="X12" s="1166">
        <v>254</v>
      </c>
      <c r="Y12" s="138">
        <v>-31439.562455187202</v>
      </c>
      <c r="AB12" s="1166">
        <v>-36159.702196924365</v>
      </c>
    </row>
    <row r="13" spans="1:33" ht="13.5" thickTop="1" x14ac:dyDescent="0.2"/>
    <row r="14" spans="1:33" x14ac:dyDescent="0.2">
      <c r="A14" s="1084" t="s">
        <v>1392</v>
      </c>
      <c r="B14" s="1154" t="s">
        <v>1407</v>
      </c>
      <c r="C14" s="1152">
        <v>2405</v>
      </c>
      <c r="D14" s="1150">
        <v>6</v>
      </c>
      <c r="E14" s="1160">
        <v>60000</v>
      </c>
      <c r="H14" s="36">
        <v>6</v>
      </c>
      <c r="I14" s="6">
        <v>56361.301809357734</v>
      </c>
      <c r="J14" s="6">
        <v>0</v>
      </c>
      <c r="K14" s="6">
        <v>0</v>
      </c>
      <c r="L14" s="6"/>
      <c r="M14" s="6">
        <v>116361.30180935774</v>
      </c>
      <c r="O14" s="6">
        <v>56361.301809357734</v>
      </c>
      <c r="P14" s="6">
        <v>116361.30180935774</v>
      </c>
      <c r="R14" s="6">
        <v>0</v>
      </c>
      <c r="U14" s="4">
        <v>100923.30180935774</v>
      </c>
      <c r="V14" s="42">
        <v>15415.818772848172</v>
      </c>
      <c r="W14" s="4">
        <v>116339.12058220591</v>
      </c>
      <c r="X14" s="147">
        <v>6</v>
      </c>
      <c r="Y14" s="6">
        <v>-22.181227151828352</v>
      </c>
      <c r="AB14" s="147">
        <v>-22.181227151828352</v>
      </c>
      <c r="AC14" s="147">
        <v>19393.550301559622</v>
      </c>
      <c r="AD14" s="147">
        <v>19389.853430367653</v>
      </c>
      <c r="AG14" s="42">
        <v>-22.181227151828352</v>
      </c>
    </row>
    <row r="15" spans="1:33" x14ac:dyDescent="0.2">
      <c r="A15" s="1084" t="s">
        <v>1393</v>
      </c>
      <c r="B15" s="1154" t="s">
        <v>1407</v>
      </c>
      <c r="C15" s="1152">
        <v>2434</v>
      </c>
      <c r="D15" s="1150">
        <v>12</v>
      </c>
      <c r="E15" s="1160">
        <v>120000</v>
      </c>
      <c r="H15" s="36">
        <v>12</v>
      </c>
      <c r="I15" s="6">
        <v>99556.600047977525</v>
      </c>
      <c r="J15" s="6">
        <v>0</v>
      </c>
      <c r="K15" s="6">
        <v>0</v>
      </c>
      <c r="L15" s="6"/>
      <c r="M15" s="6">
        <v>219556.60004797752</v>
      </c>
      <c r="O15" s="6">
        <v>99556.600047977525</v>
      </c>
      <c r="P15" s="6">
        <v>219556.60004797752</v>
      </c>
      <c r="R15" s="6">
        <v>0</v>
      </c>
      <c r="U15" s="4">
        <v>188680.60004797752</v>
      </c>
      <c r="V15" s="42">
        <v>30831.637545696343</v>
      </c>
      <c r="W15" s="4">
        <v>219512.23759367387</v>
      </c>
      <c r="X15" s="147">
        <v>12</v>
      </c>
      <c r="Y15" s="6">
        <v>-44.362454303656705</v>
      </c>
      <c r="AB15" s="147">
        <v>-44.362454303656705</v>
      </c>
      <c r="AC15" s="147">
        <v>18296.383337331459</v>
      </c>
      <c r="AD15" s="147">
        <v>18292.68646613949</v>
      </c>
      <c r="AG15" s="42">
        <v>-44.362454303656705</v>
      </c>
    </row>
    <row r="16" spans="1:33" ht="13.5" thickBot="1" x14ac:dyDescent="0.25">
      <c r="D16" s="1151">
        <v>18</v>
      </c>
      <c r="E16" s="138">
        <v>180000</v>
      </c>
      <c r="F16" s="1151">
        <v>0</v>
      </c>
      <c r="G16" s="138">
        <v>0</v>
      </c>
      <c r="H16" s="1151">
        <v>18</v>
      </c>
      <c r="I16" s="138">
        <v>155917.90185733527</v>
      </c>
      <c r="J16" s="138">
        <v>0</v>
      </c>
      <c r="K16" s="138">
        <v>0</v>
      </c>
      <c r="L16" s="1157"/>
      <c r="M16" s="138">
        <v>335917.90185733524</v>
      </c>
      <c r="O16" s="138">
        <v>155917.90185733527</v>
      </c>
      <c r="P16" s="138">
        <v>335917.90185733524</v>
      </c>
      <c r="R16" s="138">
        <v>0</v>
      </c>
      <c r="U16" s="138">
        <v>289603.90185733524</v>
      </c>
      <c r="V16" s="1166">
        <v>46247.456318544515</v>
      </c>
      <c r="W16" s="138">
        <v>335851.35817587981</v>
      </c>
      <c r="X16" s="1166">
        <v>18</v>
      </c>
      <c r="Y16" s="138">
        <v>-66.543681455485057</v>
      </c>
      <c r="AB16" s="1166">
        <v>-66.543681455485057</v>
      </c>
    </row>
    <row r="17" spans="1:33" ht="14.25" thickTop="1" thickBot="1" x14ac:dyDescent="0.25">
      <c r="L17" s="154"/>
      <c r="M17" s="1167"/>
    </row>
    <row r="18" spans="1:33" ht="13.5" thickBot="1" x14ac:dyDescent="0.25">
      <c r="A18" t="s">
        <v>1430</v>
      </c>
      <c r="C18" s="1" t="s">
        <v>144</v>
      </c>
      <c r="D18" s="1155">
        <v>268</v>
      </c>
      <c r="E18" s="1161">
        <v>2680000</v>
      </c>
      <c r="F18" s="1156">
        <v>2</v>
      </c>
      <c r="G18" s="1159">
        <v>20000</v>
      </c>
      <c r="H18" s="1156">
        <v>163</v>
      </c>
      <c r="I18" s="1159">
        <v>1359364.3927867119</v>
      </c>
      <c r="J18" s="1159">
        <v>76721.400435157018</v>
      </c>
      <c r="K18" s="1159">
        <v>363853.48570236255</v>
      </c>
      <c r="L18" s="1157"/>
      <c r="M18" s="1159">
        <v>4499939.2789242314</v>
      </c>
      <c r="O18" s="1159">
        <v>1815219.139182494</v>
      </c>
      <c r="P18" s="1159">
        <v>4495219.139182494</v>
      </c>
      <c r="R18" s="1159">
        <v>-4720.1397417370172</v>
      </c>
      <c r="U18" s="1159">
        <v>3696520.6000771984</v>
      </c>
      <c r="V18" s="1164">
        <v>824032.39593356661</v>
      </c>
      <c r="W18" s="1159">
        <v>4520552.9960107654</v>
      </c>
      <c r="X18" s="1166">
        <v>272</v>
      </c>
      <c r="Y18" s="1159">
        <v>-31506.106136642687</v>
      </c>
      <c r="AB18" s="1171">
        <v>-36226.24587837985</v>
      </c>
    </row>
    <row r="19" spans="1:33" x14ac:dyDescent="0.2">
      <c r="L19" s="1058"/>
      <c r="M19" s="1168"/>
      <c r="AG19" s="42">
        <v>327627.23982398282</v>
      </c>
    </row>
    <row r="20" spans="1:33" x14ac:dyDescent="0.2">
      <c r="L20" s="1058"/>
      <c r="M20" s="1168">
        <v>4720.1397417373955</v>
      </c>
    </row>
    <row r="21" spans="1:33" x14ac:dyDescent="0.2">
      <c r="C21" s="1">
        <v>1</v>
      </c>
      <c r="D21" s="1">
        <v>2</v>
      </c>
      <c r="E21" s="1174">
        <v>3</v>
      </c>
      <c r="F21" s="1174">
        <v>4</v>
      </c>
      <c r="G21" s="1174">
        <v>5</v>
      </c>
      <c r="H21" s="1174">
        <v>6</v>
      </c>
      <c r="I21" s="1174">
        <v>7</v>
      </c>
      <c r="J21" s="1174">
        <v>8</v>
      </c>
      <c r="K21" s="1174">
        <v>9</v>
      </c>
      <c r="L21" s="1174">
        <v>10</v>
      </c>
      <c r="M21" s="1174">
        <v>11</v>
      </c>
      <c r="N21" s="1174">
        <v>12</v>
      </c>
      <c r="O21" s="1174">
        <v>13</v>
      </c>
      <c r="P21" s="1174">
        <v>14</v>
      </c>
      <c r="Q21" s="1174">
        <v>15</v>
      </c>
      <c r="R21" s="1174">
        <v>16</v>
      </c>
      <c r="S21" s="1174">
        <v>17</v>
      </c>
      <c r="T21" s="1174">
        <v>18</v>
      </c>
      <c r="U21" s="1174">
        <v>19</v>
      </c>
      <c r="V21" s="1174">
        <v>20</v>
      </c>
      <c r="W21" s="1174">
        <v>21</v>
      </c>
      <c r="X21" s="1174">
        <v>22</v>
      </c>
      <c r="Y21" s="1174">
        <v>23</v>
      </c>
      <c r="Z21" s="1174">
        <v>24</v>
      </c>
      <c r="AA21" s="1174">
        <v>25</v>
      </c>
      <c r="AB21" s="1174">
        <v>26</v>
      </c>
      <c r="AC21" s="1174">
        <v>27</v>
      </c>
      <c r="AD21" s="1174">
        <v>28</v>
      </c>
    </row>
    <row r="23" spans="1:33" ht="13.5" thickBot="1" x14ac:dyDescent="0.25"/>
    <row r="24" spans="1:33" x14ac:dyDescent="0.2">
      <c r="M24" s="1191" t="s">
        <v>1447</v>
      </c>
    </row>
    <row r="25" spans="1:33" ht="13.5" thickBot="1" x14ac:dyDescent="0.25">
      <c r="M25" s="1192">
        <v>4.0745362639427185E-10</v>
      </c>
    </row>
    <row r="27" spans="1:33" x14ac:dyDescent="0.2">
      <c r="A27" s="815" t="s">
        <v>304</v>
      </c>
      <c r="B27" s="44"/>
      <c r="C27" s="44">
        <v>1014</v>
      </c>
    </row>
    <row r="28" spans="1:33" x14ac:dyDescent="0.2">
      <c r="A28" s="815" t="s">
        <v>305</v>
      </c>
      <c r="B28" s="44"/>
      <c r="C28" s="44">
        <v>1017</v>
      </c>
    </row>
    <row r="29" spans="1:33" x14ac:dyDescent="0.2">
      <c r="A29" s="815" t="s">
        <v>306</v>
      </c>
      <c r="B29" s="44"/>
      <c r="C29" s="44">
        <v>1006</v>
      </c>
    </row>
    <row r="30" spans="1:33" x14ac:dyDescent="0.2">
      <c r="A30" s="816" t="s">
        <v>307</v>
      </c>
      <c r="B30" s="44"/>
      <c r="C30" s="44">
        <v>1008</v>
      </c>
    </row>
    <row r="31" spans="1:33" x14ac:dyDescent="0.2">
      <c r="A31" s="816" t="s">
        <v>308</v>
      </c>
      <c r="B31" s="44"/>
      <c r="C31" s="44">
        <v>1005</v>
      </c>
    </row>
    <row r="32" spans="1:33" x14ac:dyDescent="0.2">
      <c r="A32" s="816" t="s">
        <v>309</v>
      </c>
      <c r="B32" s="44"/>
      <c r="C32" s="44">
        <v>1010</v>
      </c>
    </row>
    <row r="33" spans="1:3" x14ac:dyDescent="0.2">
      <c r="A33" s="816" t="s">
        <v>310</v>
      </c>
      <c r="B33" s="44"/>
      <c r="C33" s="44">
        <v>1009</v>
      </c>
    </row>
    <row r="34" spans="1:3" x14ac:dyDescent="0.2">
      <c r="A34" s="816" t="s">
        <v>311</v>
      </c>
      <c r="B34" s="44"/>
      <c r="C34" s="44">
        <v>1015</v>
      </c>
    </row>
    <row r="35" spans="1:3" x14ac:dyDescent="0.2">
      <c r="A35" s="241" t="s">
        <v>3</v>
      </c>
      <c r="B35" s="793"/>
      <c r="C35" s="793">
        <v>2400</v>
      </c>
    </row>
    <row r="36" spans="1:3" x14ac:dyDescent="0.2">
      <c r="A36" s="241" t="s">
        <v>4</v>
      </c>
      <c r="B36" s="793"/>
      <c r="C36" s="793">
        <v>2443</v>
      </c>
    </row>
    <row r="37" spans="1:3" x14ac:dyDescent="0.2">
      <c r="A37" s="241" t="s">
        <v>5</v>
      </c>
      <c r="B37" s="793"/>
      <c r="C37" s="793">
        <v>2442</v>
      </c>
    </row>
    <row r="38" spans="1:3" x14ac:dyDescent="0.2">
      <c r="A38" s="241" t="s">
        <v>6</v>
      </c>
      <c r="B38" s="793"/>
      <c r="C38" s="793">
        <v>2629</v>
      </c>
    </row>
    <row r="39" spans="1:3" x14ac:dyDescent="0.2">
      <c r="A39" s="241" t="s">
        <v>7</v>
      </c>
      <c r="B39" s="793"/>
      <c r="C39" s="793">
        <v>2509</v>
      </c>
    </row>
    <row r="40" spans="1:3" x14ac:dyDescent="0.2">
      <c r="A40" s="241" t="s">
        <v>8</v>
      </c>
      <c r="B40" s="793"/>
      <c r="C40" s="793">
        <v>2005</v>
      </c>
    </row>
    <row r="41" spans="1:3" x14ac:dyDescent="0.2">
      <c r="A41" s="241" t="s">
        <v>9</v>
      </c>
      <c r="B41" s="793"/>
      <c r="C41" s="793">
        <v>2464</v>
      </c>
    </row>
    <row r="42" spans="1:3" x14ac:dyDescent="0.2">
      <c r="A42" s="241" t="s">
        <v>10</v>
      </c>
      <c r="B42" s="793"/>
      <c r="C42" s="793">
        <v>2004</v>
      </c>
    </row>
    <row r="43" spans="1:3" x14ac:dyDescent="0.2">
      <c r="A43" s="241" t="s">
        <v>11</v>
      </c>
      <c r="B43" s="793"/>
      <c r="C43" s="793">
        <v>2405</v>
      </c>
    </row>
    <row r="44" spans="1:3" x14ac:dyDescent="0.2">
      <c r="A44" s="241" t="s">
        <v>108</v>
      </c>
      <c r="B44" s="793"/>
      <c r="C44" s="793">
        <v>3525</v>
      </c>
    </row>
    <row r="45" spans="1:3" x14ac:dyDescent="0.2">
      <c r="A45" s="241" t="s">
        <v>12</v>
      </c>
      <c r="B45" s="793"/>
      <c r="C45" s="793">
        <v>5201</v>
      </c>
    </row>
    <row r="46" spans="1:3" x14ac:dyDescent="0.2">
      <c r="A46" s="241" t="s">
        <v>618</v>
      </c>
      <c r="B46" s="793"/>
      <c r="C46" s="793">
        <v>2007</v>
      </c>
    </row>
    <row r="47" spans="1:3" x14ac:dyDescent="0.2">
      <c r="A47" s="241" t="s">
        <v>14</v>
      </c>
      <c r="B47" s="793"/>
      <c r="C47" s="793">
        <v>2433</v>
      </c>
    </row>
    <row r="48" spans="1:3" x14ac:dyDescent="0.2">
      <c r="A48" s="241" t="s">
        <v>15</v>
      </c>
      <c r="B48" s="793"/>
      <c r="C48" s="793">
        <v>2432</v>
      </c>
    </row>
    <row r="49" spans="1:3" x14ac:dyDescent="0.2">
      <c r="A49" s="241" t="s">
        <v>16</v>
      </c>
      <c r="B49" s="793"/>
      <c r="C49" s="793">
        <v>2446</v>
      </c>
    </row>
    <row r="50" spans="1:3" x14ac:dyDescent="0.2">
      <c r="A50" s="241" t="s">
        <v>17</v>
      </c>
      <c r="B50" s="793"/>
      <c r="C50" s="793">
        <v>2447</v>
      </c>
    </row>
    <row r="51" spans="1:3" x14ac:dyDescent="0.2">
      <c r="A51" s="241" t="s">
        <v>18</v>
      </c>
      <c r="B51" s="793"/>
      <c r="C51" s="793">
        <v>2512</v>
      </c>
    </row>
    <row r="52" spans="1:3" x14ac:dyDescent="0.2">
      <c r="A52" s="241" t="s">
        <v>19</v>
      </c>
      <c r="B52" s="793"/>
      <c r="C52" s="793">
        <v>2456</v>
      </c>
    </row>
    <row r="53" spans="1:3" x14ac:dyDescent="0.2">
      <c r="A53" s="241" t="s">
        <v>20</v>
      </c>
      <c r="B53" s="793"/>
      <c r="C53" s="793">
        <v>2449</v>
      </c>
    </row>
    <row r="54" spans="1:3" x14ac:dyDescent="0.2">
      <c r="A54" s="241" t="s">
        <v>21</v>
      </c>
      <c r="B54" s="793"/>
      <c r="C54" s="793">
        <v>2448</v>
      </c>
    </row>
    <row r="55" spans="1:3" x14ac:dyDescent="0.2">
      <c r="A55" s="701" t="s">
        <v>1047</v>
      </c>
      <c r="B55" s="793"/>
      <c r="C55" s="793">
        <v>2467</v>
      </c>
    </row>
    <row r="56" spans="1:3" x14ac:dyDescent="0.2">
      <c r="A56" s="241" t="s">
        <v>24</v>
      </c>
      <c r="B56" s="793"/>
      <c r="C56" s="793">
        <v>2455</v>
      </c>
    </row>
    <row r="57" spans="1:3" x14ac:dyDescent="0.2">
      <c r="A57" s="241" t="s">
        <v>25</v>
      </c>
      <c r="B57" s="793"/>
      <c r="C57" s="793">
        <v>5203</v>
      </c>
    </row>
    <row r="58" spans="1:3" x14ac:dyDescent="0.2">
      <c r="A58" s="241" t="s">
        <v>26</v>
      </c>
      <c r="B58" s="793"/>
      <c r="C58" s="793">
        <v>2451</v>
      </c>
    </row>
    <row r="59" spans="1:3" x14ac:dyDescent="0.2">
      <c r="A59" s="241" t="s">
        <v>27</v>
      </c>
      <c r="B59" s="793"/>
      <c r="C59" s="793">
        <v>2409</v>
      </c>
    </row>
    <row r="60" spans="1:3" x14ac:dyDescent="0.2">
      <c r="A60" s="241" t="s">
        <v>28</v>
      </c>
      <c r="B60" s="793"/>
      <c r="C60" s="793">
        <v>3158</v>
      </c>
    </row>
    <row r="61" spans="1:3" x14ac:dyDescent="0.2">
      <c r="A61" s="241" t="s">
        <v>29</v>
      </c>
      <c r="B61" s="793"/>
      <c r="C61" s="793">
        <v>2619</v>
      </c>
    </row>
    <row r="62" spans="1:3" x14ac:dyDescent="0.2">
      <c r="A62" s="241" t="s">
        <v>30</v>
      </c>
      <c r="B62" s="793"/>
      <c r="C62" s="793">
        <v>2518</v>
      </c>
    </row>
    <row r="63" spans="1:3" x14ac:dyDescent="0.2">
      <c r="A63" s="241" t="s">
        <v>31</v>
      </c>
      <c r="B63" s="793"/>
      <c r="C63" s="793">
        <v>2457</v>
      </c>
    </row>
    <row r="64" spans="1:3" x14ac:dyDescent="0.2">
      <c r="A64" s="701" t="s">
        <v>1018</v>
      </c>
      <c r="B64" s="793"/>
      <c r="C64" s="793">
        <v>2515</v>
      </c>
    </row>
    <row r="65" spans="1:3" x14ac:dyDescent="0.2">
      <c r="A65" s="241" t="s">
        <v>33</v>
      </c>
      <c r="B65" s="793"/>
      <c r="C65" s="793">
        <v>2002</v>
      </c>
    </row>
    <row r="66" spans="1:3" x14ac:dyDescent="0.2">
      <c r="A66" s="241" t="s">
        <v>34</v>
      </c>
      <c r="B66" s="793"/>
      <c r="C66" s="793">
        <v>3544</v>
      </c>
    </row>
    <row r="67" spans="1:3" x14ac:dyDescent="0.2">
      <c r="A67" s="241" t="s">
        <v>35</v>
      </c>
      <c r="B67" s="793"/>
      <c r="C67" s="793">
        <v>2006</v>
      </c>
    </row>
    <row r="68" spans="1:3" x14ac:dyDescent="0.2">
      <c r="A68" s="241" t="s">
        <v>36</v>
      </c>
      <c r="B68" s="793"/>
      <c r="C68" s="793">
        <v>2434</v>
      </c>
    </row>
    <row r="69" spans="1:3" x14ac:dyDescent="0.2">
      <c r="A69" s="241" t="s">
        <v>37</v>
      </c>
      <c r="B69" s="793"/>
      <c r="C69" s="793">
        <v>2522</v>
      </c>
    </row>
    <row r="70" spans="1:3" x14ac:dyDescent="0.2">
      <c r="A70" s="241" t="s">
        <v>38</v>
      </c>
      <c r="B70" s="793"/>
      <c r="C70" s="793">
        <v>2436</v>
      </c>
    </row>
    <row r="71" spans="1:3" x14ac:dyDescent="0.2">
      <c r="A71" s="241" t="s">
        <v>39</v>
      </c>
      <c r="B71" s="793"/>
      <c r="C71" s="793">
        <v>2452</v>
      </c>
    </row>
    <row r="72" spans="1:3" x14ac:dyDescent="0.2">
      <c r="A72" s="241" t="s">
        <v>40</v>
      </c>
      <c r="B72" s="793"/>
      <c r="C72" s="793">
        <v>2627</v>
      </c>
    </row>
    <row r="73" spans="1:3" x14ac:dyDescent="0.2">
      <c r="A73" s="241" t="s">
        <v>619</v>
      </c>
      <c r="B73" s="793"/>
      <c r="C73" s="793">
        <v>2009</v>
      </c>
    </row>
    <row r="74" spans="1:3" x14ac:dyDescent="0.2">
      <c r="A74" s="241" t="s">
        <v>42</v>
      </c>
      <c r="B74" s="793"/>
      <c r="C74" s="793">
        <v>2473</v>
      </c>
    </row>
    <row r="75" spans="1:3" x14ac:dyDescent="0.2">
      <c r="A75" s="241" t="s">
        <v>43</v>
      </c>
      <c r="B75" s="793"/>
      <c r="C75" s="793">
        <v>2471</v>
      </c>
    </row>
    <row r="76" spans="1:3" x14ac:dyDescent="0.2">
      <c r="A76" s="241" t="s">
        <v>44</v>
      </c>
      <c r="B76" s="793"/>
      <c r="C76" s="793">
        <v>2420</v>
      </c>
    </row>
    <row r="77" spans="1:3" x14ac:dyDescent="0.2">
      <c r="A77" s="241" t="s">
        <v>45</v>
      </c>
      <c r="B77" s="793"/>
      <c r="C77" s="793">
        <v>2003</v>
      </c>
    </row>
    <row r="78" spans="1:3" x14ac:dyDescent="0.2">
      <c r="A78" s="241" t="s">
        <v>46</v>
      </c>
      <c r="B78" s="793"/>
      <c r="C78" s="793">
        <v>2423</v>
      </c>
    </row>
    <row r="79" spans="1:3" x14ac:dyDescent="0.2">
      <c r="A79" s="241" t="s">
        <v>47</v>
      </c>
      <c r="B79" s="793"/>
      <c r="C79" s="793">
        <v>2424</v>
      </c>
    </row>
    <row r="80" spans="1:3" x14ac:dyDescent="0.2">
      <c r="A80" s="241" t="s">
        <v>48</v>
      </c>
      <c r="B80" s="793"/>
      <c r="C80" s="793">
        <v>2439</v>
      </c>
    </row>
    <row r="81" spans="1:3" x14ac:dyDescent="0.2">
      <c r="A81" s="241" t="s">
        <v>49</v>
      </c>
      <c r="B81" s="793"/>
      <c r="C81" s="793">
        <v>2440</v>
      </c>
    </row>
    <row r="82" spans="1:3" x14ac:dyDescent="0.2">
      <c r="A82" s="241" t="s">
        <v>50</v>
      </c>
      <c r="B82" s="793"/>
      <c r="C82" s="793">
        <v>2462</v>
      </c>
    </row>
    <row r="83" spans="1:3" x14ac:dyDescent="0.2">
      <c r="A83" s="241" t="s">
        <v>51</v>
      </c>
      <c r="B83" s="793"/>
      <c r="C83" s="793">
        <v>2463</v>
      </c>
    </row>
    <row r="84" spans="1:3" x14ac:dyDescent="0.2">
      <c r="A84" s="241" t="s">
        <v>52</v>
      </c>
      <c r="B84" s="793"/>
      <c r="C84" s="793">
        <v>2505</v>
      </c>
    </row>
    <row r="85" spans="1:3" x14ac:dyDescent="0.2">
      <c r="A85" s="241" t="s">
        <v>53</v>
      </c>
      <c r="B85" s="793"/>
      <c r="C85" s="793">
        <v>2000</v>
      </c>
    </row>
    <row r="86" spans="1:3" x14ac:dyDescent="0.2">
      <c r="A86" s="241" t="s">
        <v>54</v>
      </c>
      <c r="B86" s="793"/>
      <c r="C86" s="793">
        <v>2458</v>
      </c>
    </row>
    <row r="87" spans="1:3" x14ac:dyDescent="0.2">
      <c r="A87" s="241" t="s">
        <v>55</v>
      </c>
      <c r="B87" s="793"/>
      <c r="C87" s="793">
        <v>2001</v>
      </c>
    </row>
    <row r="88" spans="1:3" x14ac:dyDescent="0.2">
      <c r="A88" s="241" t="s">
        <v>56</v>
      </c>
      <c r="B88" s="793"/>
      <c r="C88" s="793">
        <v>2429</v>
      </c>
    </row>
    <row r="89" spans="1:3" x14ac:dyDescent="0.2">
      <c r="A89" s="241" t="s">
        <v>57</v>
      </c>
      <c r="B89" s="793"/>
      <c r="C89" s="793">
        <v>2444</v>
      </c>
    </row>
    <row r="90" spans="1:3" x14ac:dyDescent="0.2">
      <c r="A90" s="241" t="s">
        <v>58</v>
      </c>
      <c r="B90" s="793"/>
      <c r="C90" s="793">
        <v>5209</v>
      </c>
    </row>
    <row r="91" spans="1:3" x14ac:dyDescent="0.2">
      <c r="A91" s="241" t="s">
        <v>59</v>
      </c>
      <c r="B91" s="793"/>
      <c r="C91" s="793">
        <v>2469</v>
      </c>
    </row>
    <row r="92" spans="1:3" x14ac:dyDescent="0.2">
      <c r="A92" s="241" t="s">
        <v>60</v>
      </c>
      <c r="B92" s="793"/>
      <c r="C92" s="793">
        <v>2430</v>
      </c>
    </row>
    <row r="93" spans="1:3" x14ac:dyDescent="0.2">
      <c r="A93" s="241" t="s">
        <v>61</v>
      </c>
      <c r="B93" s="793"/>
      <c r="C93" s="793">
        <v>2466</v>
      </c>
    </row>
    <row r="94" spans="1:3" x14ac:dyDescent="0.2">
      <c r="A94" s="241" t="s">
        <v>106</v>
      </c>
      <c r="B94" s="793"/>
      <c r="C94" s="793">
        <v>3543</v>
      </c>
    </row>
    <row r="95" spans="1:3" x14ac:dyDescent="0.2">
      <c r="A95" s="241" t="s">
        <v>623</v>
      </c>
      <c r="B95" s="793"/>
      <c r="C95" s="793">
        <v>3531</v>
      </c>
    </row>
    <row r="96" spans="1:3" x14ac:dyDescent="0.2">
      <c r="A96" s="241" t="s">
        <v>63</v>
      </c>
      <c r="B96" s="793"/>
      <c r="C96" s="793">
        <v>3526</v>
      </c>
    </row>
    <row r="97" spans="1:3" x14ac:dyDescent="0.2">
      <c r="A97" s="241" t="s">
        <v>64</v>
      </c>
      <c r="B97" s="793"/>
      <c r="C97" s="793">
        <v>3535</v>
      </c>
    </row>
    <row r="98" spans="1:3" x14ac:dyDescent="0.2">
      <c r="A98" s="797" t="s">
        <v>620</v>
      </c>
      <c r="B98" s="793"/>
      <c r="C98" s="793">
        <v>2008</v>
      </c>
    </row>
    <row r="99" spans="1:3" x14ac:dyDescent="0.2">
      <c r="A99" s="241" t="s">
        <v>65</v>
      </c>
      <c r="B99" s="793"/>
      <c r="C99" s="793">
        <v>3542</v>
      </c>
    </row>
    <row r="100" spans="1:3" x14ac:dyDescent="0.2">
      <c r="A100" s="241" t="s">
        <v>66</v>
      </c>
      <c r="B100" s="793"/>
      <c r="C100" s="793">
        <v>3528</v>
      </c>
    </row>
    <row r="101" spans="1:3" x14ac:dyDescent="0.2">
      <c r="A101" s="241" t="s">
        <v>67</v>
      </c>
      <c r="B101" s="793"/>
      <c r="C101" s="793">
        <v>3534</v>
      </c>
    </row>
    <row r="102" spans="1:3" x14ac:dyDescent="0.2">
      <c r="A102" s="241" t="s">
        <v>68</v>
      </c>
      <c r="B102" s="793"/>
      <c r="C102" s="793">
        <v>3532</v>
      </c>
    </row>
    <row r="103" spans="1:3" x14ac:dyDescent="0.2">
      <c r="A103" s="241" t="s">
        <v>69</v>
      </c>
      <c r="B103" s="793"/>
      <c r="C103" s="793">
        <v>3546</v>
      </c>
    </row>
    <row r="104" spans="1:3" x14ac:dyDescent="0.2">
      <c r="A104" s="241" t="s">
        <v>107</v>
      </c>
      <c r="B104" s="793"/>
      <c r="C104" s="793">
        <v>3530</v>
      </c>
    </row>
    <row r="105" spans="1:3" x14ac:dyDescent="0.2">
      <c r="A105" s="241" t="s">
        <v>70</v>
      </c>
      <c r="B105" s="793"/>
      <c r="C105" s="793">
        <v>2459</v>
      </c>
    </row>
    <row r="106" spans="1:3" x14ac:dyDescent="0.2">
      <c r="A106" s="701"/>
      <c r="B106" s="793"/>
    </row>
    <row r="107" spans="1:3" x14ac:dyDescent="0.2">
      <c r="A107" s="701"/>
      <c r="B107" s="793"/>
    </row>
    <row r="108" spans="1:3" x14ac:dyDescent="0.2">
      <c r="A108" s="701"/>
      <c r="B108" s="793"/>
    </row>
    <row r="109" spans="1:3" x14ac:dyDescent="0.2">
      <c r="A109" s="241"/>
      <c r="B109" s="793"/>
    </row>
    <row r="110" spans="1:3" x14ac:dyDescent="0.2">
      <c r="A110" s="241" t="s">
        <v>82</v>
      </c>
      <c r="B110" s="241" t="s">
        <v>82</v>
      </c>
    </row>
    <row r="111" spans="1:3" x14ac:dyDescent="0.2">
      <c r="A111" s="241"/>
      <c r="B111" s="793"/>
    </row>
    <row r="112" spans="1:3" x14ac:dyDescent="0.2">
      <c r="A112" s="241" t="s">
        <v>71</v>
      </c>
      <c r="B112" s="793">
        <v>5402</v>
      </c>
      <c r="C112" s="793">
        <v>5402</v>
      </c>
    </row>
    <row r="113" spans="1:3" x14ac:dyDescent="0.2">
      <c r="A113" s="241" t="s">
        <v>72</v>
      </c>
      <c r="B113" s="793">
        <v>4608</v>
      </c>
      <c r="C113" s="793">
        <v>4608</v>
      </c>
    </row>
    <row r="114" spans="1:3" x14ac:dyDescent="0.2">
      <c r="A114" s="241" t="s">
        <v>73</v>
      </c>
      <c r="B114" s="793">
        <v>4178</v>
      </c>
      <c r="C114" s="793">
        <v>4178</v>
      </c>
    </row>
    <row r="115" spans="1:3" x14ac:dyDescent="0.2">
      <c r="A115" s="241" t="s">
        <v>328</v>
      </c>
      <c r="B115" s="793">
        <v>4181</v>
      </c>
      <c r="C115" s="793">
        <v>4181</v>
      </c>
    </row>
    <row r="116" spans="1:3" x14ac:dyDescent="0.2">
      <c r="A116" s="241" t="s">
        <v>74</v>
      </c>
      <c r="B116" s="793">
        <v>4182</v>
      </c>
      <c r="C116" s="793">
        <v>4182</v>
      </c>
    </row>
    <row r="117" spans="1:3" x14ac:dyDescent="0.2">
      <c r="A117" s="241" t="s">
        <v>75</v>
      </c>
      <c r="B117" s="793">
        <v>4609</v>
      </c>
      <c r="C117" s="793">
        <v>4609</v>
      </c>
    </row>
    <row r="118" spans="1:3" x14ac:dyDescent="0.2">
      <c r="A118" s="241" t="s">
        <v>76</v>
      </c>
      <c r="B118" s="793">
        <v>5406</v>
      </c>
      <c r="C118" s="793">
        <v>5406</v>
      </c>
    </row>
    <row r="119" spans="1:3" x14ac:dyDescent="0.2">
      <c r="A119" s="241" t="s">
        <v>77</v>
      </c>
      <c r="B119" s="793">
        <v>5407</v>
      </c>
      <c r="C119" s="793">
        <v>5407</v>
      </c>
    </row>
    <row r="120" spans="1:3" x14ac:dyDescent="0.2">
      <c r="A120" s="241" t="s">
        <v>625</v>
      </c>
      <c r="B120" s="793">
        <v>4607</v>
      </c>
      <c r="C120" s="793">
        <v>4607</v>
      </c>
    </row>
    <row r="121" spans="1:3" x14ac:dyDescent="0.2">
      <c r="A121" s="241" t="s">
        <v>78</v>
      </c>
      <c r="B121" s="793">
        <v>4158</v>
      </c>
      <c r="C121" s="793">
        <v>4158</v>
      </c>
    </row>
    <row r="122" spans="1:3" x14ac:dyDescent="0.2">
      <c r="A122" s="241" t="s">
        <v>79</v>
      </c>
      <c r="B122" s="793">
        <v>4177</v>
      </c>
      <c r="C122" s="793">
        <v>4177</v>
      </c>
    </row>
    <row r="123" spans="1:3" x14ac:dyDescent="0.2">
      <c r="A123" s="241" t="s">
        <v>80</v>
      </c>
      <c r="B123" s="793">
        <v>5412</v>
      </c>
      <c r="C123" s="793">
        <v>5412</v>
      </c>
    </row>
    <row r="124" spans="1:3" x14ac:dyDescent="0.2">
      <c r="A124" s="241" t="s">
        <v>624</v>
      </c>
      <c r="B124" s="793">
        <v>5414</v>
      </c>
      <c r="C124" s="793">
        <v>5414</v>
      </c>
    </row>
  </sheetData>
  <sheetProtection password="EF5C" sheet="1" objects="1" scenarios="1"/>
  <pageMargins left="0.7" right="0.7" top="0.75" bottom="0.75" header="0.3" footer="0.3"/>
  <pageSetup paperSize="8" scale="47"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topLeftCell="A66" workbookViewId="0">
      <selection activeCell="A87" sqref="A87"/>
    </sheetView>
  </sheetViews>
  <sheetFormatPr defaultRowHeight="12.75" x14ac:dyDescent="0.2"/>
  <cols>
    <col min="1" max="1" width="50.42578125" style="749" bestFit="1" customWidth="1"/>
  </cols>
  <sheetData>
    <row r="1" spans="1:1" x14ac:dyDescent="0.2">
      <c r="A1" t="s">
        <v>1068</v>
      </c>
    </row>
    <row r="2" spans="1:1" x14ac:dyDescent="0.2">
      <c r="A2" s="771" t="s">
        <v>3</v>
      </c>
    </row>
    <row r="3" spans="1:1" x14ac:dyDescent="0.2">
      <c r="A3" s="771" t="s">
        <v>4</v>
      </c>
    </row>
    <row r="4" spans="1:1" x14ac:dyDescent="0.2">
      <c r="A4" s="771" t="s">
        <v>5</v>
      </c>
    </row>
    <row r="5" spans="1:1" x14ac:dyDescent="0.2">
      <c r="A5" s="771" t="s">
        <v>6</v>
      </c>
    </row>
    <row r="6" spans="1:1" x14ac:dyDescent="0.2">
      <c r="A6" s="771" t="s">
        <v>7</v>
      </c>
    </row>
    <row r="7" spans="1:1" x14ac:dyDescent="0.2">
      <c r="A7" s="771" t="s">
        <v>8</v>
      </c>
    </row>
    <row r="8" spans="1:1" x14ac:dyDescent="0.2">
      <c r="A8" s="771" t="s">
        <v>9</v>
      </c>
    </row>
    <row r="9" spans="1:1" x14ac:dyDescent="0.2">
      <c r="A9" s="771" t="s">
        <v>10</v>
      </c>
    </row>
    <row r="10" spans="1:1" x14ac:dyDescent="0.2">
      <c r="A10" s="771" t="s">
        <v>11</v>
      </c>
    </row>
    <row r="11" spans="1:1" x14ac:dyDescent="0.2">
      <c r="A11" s="771" t="s">
        <v>108</v>
      </c>
    </row>
    <row r="12" spans="1:1" x14ac:dyDescent="0.2">
      <c r="A12" s="771" t="s">
        <v>12</v>
      </c>
    </row>
    <row r="13" spans="1:1" x14ac:dyDescent="0.2">
      <c r="A13" s="772" t="s">
        <v>618</v>
      </c>
    </row>
    <row r="14" spans="1:1" x14ac:dyDescent="0.2">
      <c r="A14" s="771" t="s">
        <v>14</v>
      </c>
    </row>
    <row r="15" spans="1:1" x14ac:dyDescent="0.2">
      <c r="A15" s="771" t="s">
        <v>15</v>
      </c>
    </row>
    <row r="16" spans="1:1" x14ac:dyDescent="0.2">
      <c r="A16" s="771" t="s">
        <v>16</v>
      </c>
    </row>
    <row r="17" spans="1:1" x14ac:dyDescent="0.2">
      <c r="A17" s="771" t="s">
        <v>17</v>
      </c>
    </row>
    <row r="18" spans="1:1" x14ac:dyDescent="0.2">
      <c r="A18" s="771" t="s">
        <v>18</v>
      </c>
    </row>
    <row r="19" spans="1:1" x14ac:dyDescent="0.2">
      <c r="A19" s="771" t="s">
        <v>19</v>
      </c>
    </row>
    <row r="20" spans="1:1" x14ac:dyDescent="0.2">
      <c r="A20" s="771" t="s">
        <v>20</v>
      </c>
    </row>
    <row r="21" spans="1:1" x14ac:dyDescent="0.2">
      <c r="A21" s="771" t="s">
        <v>21</v>
      </c>
    </row>
    <row r="22" spans="1:1" x14ac:dyDescent="0.2">
      <c r="A22" s="771" t="s">
        <v>23</v>
      </c>
    </row>
    <row r="23" spans="1:1" x14ac:dyDescent="0.2">
      <c r="A23" s="771" t="s">
        <v>24</v>
      </c>
    </row>
    <row r="24" spans="1:1" x14ac:dyDescent="0.2">
      <c r="A24" s="771" t="s">
        <v>25</v>
      </c>
    </row>
    <row r="25" spans="1:1" x14ac:dyDescent="0.2">
      <c r="A25" s="771" t="s">
        <v>26</v>
      </c>
    </row>
    <row r="26" spans="1:1" x14ac:dyDescent="0.2">
      <c r="A26" s="771" t="s">
        <v>27</v>
      </c>
    </row>
    <row r="27" spans="1:1" x14ac:dyDescent="0.2">
      <c r="A27" s="771" t="s">
        <v>28</v>
      </c>
    </row>
    <row r="28" spans="1:1" x14ac:dyDescent="0.2">
      <c r="A28" s="771" t="s">
        <v>29</v>
      </c>
    </row>
    <row r="29" spans="1:1" x14ac:dyDescent="0.2">
      <c r="A29" s="771" t="s">
        <v>30</v>
      </c>
    </row>
    <row r="30" spans="1:1" x14ac:dyDescent="0.2">
      <c r="A30" s="771" t="s">
        <v>31</v>
      </c>
    </row>
    <row r="31" spans="1:1" x14ac:dyDescent="0.2">
      <c r="A31" s="772" t="s">
        <v>1018</v>
      </c>
    </row>
    <row r="32" spans="1:1" x14ac:dyDescent="0.2">
      <c r="A32" s="771" t="s">
        <v>33</v>
      </c>
    </row>
    <row r="33" spans="1:1" x14ac:dyDescent="0.2">
      <c r="A33" s="771" t="s">
        <v>34</v>
      </c>
    </row>
    <row r="34" spans="1:1" x14ac:dyDescent="0.2">
      <c r="A34" s="771" t="s">
        <v>35</v>
      </c>
    </row>
    <row r="35" spans="1:1" x14ac:dyDescent="0.2">
      <c r="A35" s="771" t="s">
        <v>36</v>
      </c>
    </row>
    <row r="36" spans="1:1" x14ac:dyDescent="0.2">
      <c r="A36" s="771" t="s">
        <v>37</v>
      </c>
    </row>
    <row r="37" spans="1:1" x14ac:dyDescent="0.2">
      <c r="A37" s="771" t="s">
        <v>38</v>
      </c>
    </row>
    <row r="38" spans="1:1" x14ac:dyDescent="0.2">
      <c r="A38" s="771" t="s">
        <v>39</v>
      </c>
    </row>
    <row r="39" spans="1:1" x14ac:dyDescent="0.2">
      <c r="A39" s="771" t="s">
        <v>40</v>
      </c>
    </row>
    <row r="40" spans="1:1" x14ac:dyDescent="0.2">
      <c r="A40" s="772" t="s">
        <v>619</v>
      </c>
    </row>
    <row r="41" spans="1:1" x14ac:dyDescent="0.2">
      <c r="A41" s="771" t="s">
        <v>42</v>
      </c>
    </row>
    <row r="42" spans="1:1" x14ac:dyDescent="0.2">
      <c r="A42" s="771" t="s">
        <v>43</v>
      </c>
    </row>
    <row r="43" spans="1:1" x14ac:dyDescent="0.2">
      <c r="A43" s="771" t="s">
        <v>44</v>
      </c>
    </row>
    <row r="44" spans="1:1" x14ac:dyDescent="0.2">
      <c r="A44" s="771" t="s">
        <v>45</v>
      </c>
    </row>
    <row r="45" spans="1:1" x14ac:dyDescent="0.2">
      <c r="A45" s="771" t="s">
        <v>46</v>
      </c>
    </row>
    <row r="46" spans="1:1" x14ac:dyDescent="0.2">
      <c r="A46" s="771" t="s">
        <v>47</v>
      </c>
    </row>
    <row r="47" spans="1:1" x14ac:dyDescent="0.2">
      <c r="A47" s="771" t="s">
        <v>48</v>
      </c>
    </row>
    <row r="48" spans="1:1" x14ac:dyDescent="0.2">
      <c r="A48" s="771" t="s">
        <v>49</v>
      </c>
    </row>
    <row r="49" spans="1:1" x14ac:dyDescent="0.2">
      <c r="A49" s="771" t="s">
        <v>50</v>
      </c>
    </row>
    <row r="50" spans="1:1" x14ac:dyDescent="0.2">
      <c r="A50" s="771" t="s">
        <v>51</v>
      </c>
    </row>
    <row r="51" spans="1:1" x14ac:dyDescent="0.2">
      <c r="A51" s="771" t="s">
        <v>52</v>
      </c>
    </row>
    <row r="52" spans="1:1" x14ac:dyDescent="0.2">
      <c r="A52" s="771" t="s">
        <v>53</v>
      </c>
    </row>
    <row r="53" spans="1:1" x14ac:dyDescent="0.2">
      <c r="A53" s="771" t="s">
        <v>54</v>
      </c>
    </row>
    <row r="54" spans="1:1" x14ac:dyDescent="0.2">
      <c r="A54" s="771" t="s">
        <v>55</v>
      </c>
    </row>
    <row r="55" spans="1:1" x14ac:dyDescent="0.2">
      <c r="A55" s="771" t="s">
        <v>56</v>
      </c>
    </row>
    <row r="56" spans="1:1" x14ac:dyDescent="0.2">
      <c r="A56" s="771" t="s">
        <v>57</v>
      </c>
    </row>
    <row r="57" spans="1:1" x14ac:dyDescent="0.2">
      <c r="A57" s="771" t="s">
        <v>58</v>
      </c>
    </row>
    <row r="58" spans="1:1" x14ac:dyDescent="0.2">
      <c r="A58" s="771" t="s">
        <v>59</v>
      </c>
    </row>
    <row r="59" spans="1:1" x14ac:dyDescent="0.2">
      <c r="A59" s="771" t="s">
        <v>60</v>
      </c>
    </row>
    <row r="60" spans="1:1" x14ac:dyDescent="0.2">
      <c r="A60" s="771" t="s">
        <v>61</v>
      </c>
    </row>
    <row r="61" spans="1:1" x14ac:dyDescent="0.2">
      <c r="A61" s="771" t="s">
        <v>106</v>
      </c>
    </row>
    <row r="62" spans="1:1" x14ac:dyDescent="0.2">
      <c r="A62" s="773" t="s">
        <v>623</v>
      </c>
    </row>
    <row r="63" spans="1:1" x14ac:dyDescent="0.2">
      <c r="A63" s="771" t="s">
        <v>63</v>
      </c>
    </row>
    <row r="64" spans="1:1" x14ac:dyDescent="0.2">
      <c r="A64" s="771" t="s">
        <v>64</v>
      </c>
    </row>
    <row r="65" spans="1:1" x14ac:dyDescent="0.2">
      <c r="A65" s="774" t="s">
        <v>620</v>
      </c>
    </row>
    <row r="66" spans="1:1" x14ac:dyDescent="0.2">
      <c r="A66" s="771" t="s">
        <v>65</v>
      </c>
    </row>
    <row r="67" spans="1:1" x14ac:dyDescent="0.2">
      <c r="A67" s="771" t="s">
        <v>66</v>
      </c>
    </row>
    <row r="68" spans="1:1" x14ac:dyDescent="0.2">
      <c r="A68" s="771" t="s">
        <v>67</v>
      </c>
    </row>
    <row r="69" spans="1:1" x14ac:dyDescent="0.2">
      <c r="A69" s="771" t="s">
        <v>68</v>
      </c>
    </row>
    <row r="70" spans="1:1" x14ac:dyDescent="0.2">
      <c r="A70" s="771" t="s">
        <v>69</v>
      </c>
    </row>
    <row r="71" spans="1:1" x14ac:dyDescent="0.2">
      <c r="A71" s="771" t="s">
        <v>107</v>
      </c>
    </row>
    <row r="72" spans="1:1" x14ac:dyDescent="0.2">
      <c r="A72" s="771" t="s">
        <v>70</v>
      </c>
    </row>
    <row r="73" spans="1:1" x14ac:dyDescent="0.2">
      <c r="A73" s="771" t="s">
        <v>71</v>
      </c>
    </row>
    <row r="74" spans="1:1" x14ac:dyDescent="0.2">
      <c r="A74" s="771" t="s">
        <v>72</v>
      </c>
    </row>
    <row r="75" spans="1:1" x14ac:dyDescent="0.2">
      <c r="A75" s="771" t="s">
        <v>73</v>
      </c>
    </row>
    <row r="76" spans="1:1" x14ac:dyDescent="0.2">
      <c r="A76" s="772" t="s">
        <v>328</v>
      </c>
    </row>
    <row r="77" spans="1:1" x14ac:dyDescent="0.2">
      <c r="A77" s="771" t="s">
        <v>74</v>
      </c>
    </row>
    <row r="78" spans="1:1" x14ac:dyDescent="0.2">
      <c r="A78" s="771" t="s">
        <v>75</v>
      </c>
    </row>
    <row r="79" spans="1:1" x14ac:dyDescent="0.2">
      <c r="A79" s="771" t="s">
        <v>76</v>
      </c>
    </row>
    <row r="80" spans="1:1" x14ac:dyDescent="0.2">
      <c r="A80" s="771" t="s">
        <v>77</v>
      </c>
    </row>
    <row r="81" spans="1:1" x14ac:dyDescent="0.2">
      <c r="A81" s="773" t="s">
        <v>625</v>
      </c>
    </row>
    <row r="82" spans="1:1" x14ac:dyDescent="0.2">
      <c r="A82" s="771" t="s">
        <v>78</v>
      </c>
    </row>
    <row r="83" spans="1:1" x14ac:dyDescent="0.2">
      <c r="A83" s="771" t="s">
        <v>79</v>
      </c>
    </row>
    <row r="84" spans="1:1" x14ac:dyDescent="0.2">
      <c r="A84" s="771" t="s">
        <v>80</v>
      </c>
    </row>
    <row r="85" spans="1:1" x14ac:dyDescent="0.2">
      <c r="A85" s="773" t="s">
        <v>624</v>
      </c>
    </row>
    <row r="86" spans="1:1" x14ac:dyDescent="0.2">
      <c r="A86" s="3" t="s">
        <v>143</v>
      </c>
    </row>
    <row r="87" spans="1:1" x14ac:dyDescent="0.2">
      <c r="A87" s="3"/>
    </row>
  </sheetData>
  <sheetProtection password="EF5C"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13</vt:i4>
      </vt:variant>
    </vt:vector>
  </HeadingPairs>
  <TitlesOfParts>
    <vt:vector size="35" baseType="lpstr">
      <vt:lpstr>Special Schools Print</vt:lpstr>
      <vt:lpstr>Specials Breakdown</vt:lpstr>
      <vt:lpstr>Specials Places funding </vt:lpstr>
      <vt:lpstr>Special Schools List</vt:lpstr>
      <vt:lpstr>Other LA ERS Places</vt:lpstr>
      <vt:lpstr>ERS 2013-14 if full</vt:lpstr>
      <vt:lpstr>ERS 2013-14 Filled Places</vt:lpstr>
      <vt:lpstr>ERS Breakdown</vt:lpstr>
      <vt:lpstr>School Lookup</vt:lpstr>
      <vt:lpstr>School Formula Budget 2013-14</vt:lpstr>
      <vt:lpstr>New Finbud Primary &amp; Secondary</vt:lpstr>
      <vt:lpstr>Delegation</vt:lpstr>
      <vt:lpstr>For proforma</vt:lpstr>
      <vt:lpstr>Formula AWPU Totals</vt:lpstr>
      <vt:lpstr>School Level Information</vt:lpstr>
      <vt:lpstr>Delegation Budget lines</vt:lpstr>
      <vt:lpstr>Outside Formula</vt:lpstr>
      <vt:lpstr>Prim Sec Data 2012</vt:lpstr>
      <vt:lpstr>Summary Funding 12-13</vt:lpstr>
      <vt:lpstr>Names for List</vt:lpstr>
      <vt:lpstr>VLookup Info for Print Sheet</vt:lpstr>
      <vt:lpstr>2013-14 Early Years</vt:lpstr>
      <vt:lpstr>'2013-14 Early Years'!Print_Area</vt:lpstr>
      <vt:lpstr>'School Formula Budget 2013-14'!Print_Area</vt:lpstr>
      <vt:lpstr>'Special Schools Print'!Print_Area</vt:lpstr>
      <vt:lpstr>'VLookup Info for Print Sheet'!Print_Area</vt:lpstr>
      <vt:lpstr>'2013-14 Early Years'!Print_Titles</vt:lpstr>
      <vt:lpstr>'Delegation Budget lines'!Print_Titles</vt:lpstr>
      <vt:lpstr>'ERS 2013-14 Filled Places'!Print_Titles</vt:lpstr>
      <vt:lpstr>'ERS 2013-14 if full'!Print_Titles</vt:lpstr>
      <vt:lpstr>'New Finbud Primary &amp; Secondary'!Print_Titles</vt:lpstr>
      <vt:lpstr>'Other LA ERS Places'!Print_Titles</vt:lpstr>
      <vt:lpstr>'Prim Sec Data 2012'!Print_Titles</vt:lpstr>
      <vt:lpstr>'School Level Information'!Print_Titles</vt:lpstr>
      <vt:lpstr>'VLookup Info for Print Sheet'!Print_Titles</vt:lpstr>
    </vt:vector>
  </TitlesOfParts>
  <Company>Derby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couplaj</dc:creator>
  <cp:lastModifiedBy>Wain, Jocelyn</cp:lastModifiedBy>
  <cp:lastPrinted>2013-05-01T08:36:00Z</cp:lastPrinted>
  <dcterms:created xsi:type="dcterms:W3CDTF">2012-08-15T15:09:58Z</dcterms:created>
  <dcterms:modified xsi:type="dcterms:W3CDTF">2014-02-26T11:23:32Z</dcterms:modified>
</cp:coreProperties>
</file>